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 Jaber\Desktop\الخاص 24\"/>
    </mc:Choice>
  </mc:AlternateContent>
  <bookViews>
    <workbookView xWindow="360" yWindow="240" windowWidth="9450" windowHeight="6615" tabRatio="892"/>
  </bookViews>
  <sheets>
    <sheet name="الكلفه  للسنوات" sheetId="38" r:id="rId1"/>
    <sheet name="مؤشرات" sheetId="21" r:id="rId2"/>
    <sheet name="مخطط المؤشرات" sheetId="43" r:id="rId3"/>
    <sheet name="دور السكن ج" sheetId="19" r:id="rId4"/>
    <sheet name="دور السكن م" sheetId="20" r:id="rId5"/>
    <sheet name="عمارات سكنيه ج و م" sheetId="25" r:id="rId6"/>
    <sheet name="عمارات تجاريه ج" sheetId="27" r:id="rId7"/>
    <sheet name="عمارات تجاريه م" sheetId="28" r:id="rId8"/>
    <sheet name="ابنيه صناعيه ج" sheetId="34" r:id="rId9"/>
    <sheet name="صناعي اضافة" sheetId="57" r:id="rId10"/>
    <sheet name="ابنيه تجاريه ج" sheetId="36" r:id="rId11"/>
    <sheet name="ابنيه تجاريه م" sheetId="37" r:id="rId12"/>
    <sheet name="ابنيه اجتماعيه ج" sheetId="30" r:id="rId13"/>
    <sheet name="ابنيه اجتماعيه م" sheetId="31" r:id="rId14"/>
    <sheet name="العاملين" sheetId="22" r:id="rId15"/>
    <sheet name="مخطط العاملين" sheetId="46" r:id="rId16"/>
    <sheet name="طابوق" sheetId="32" r:id="rId17"/>
    <sheet name="بلوك" sheetId="18" r:id="rId18"/>
    <sheet name="مخطط الطابوق والبلوك" sheetId="48" r:id="rId19"/>
    <sheet name="حجر" sheetId="13" r:id="rId20"/>
    <sheet name="حصى" sheetId="5" r:id="rId21"/>
    <sheet name="رمل" sheetId="7" r:id="rId22"/>
    <sheet name="مخطط الحصى" sheetId="50" r:id="rId23"/>
    <sheet name="سمنت" sheetId="29" r:id="rId24"/>
    <sheet name="جص" sheetId="6" r:id="rId25"/>
    <sheet name="مخطط الجص والاسمنت" sheetId="53" r:id="rId26"/>
    <sheet name="كاشي" sheetId="11" r:id="rId27"/>
    <sheet name="كاشي2" sheetId="12" r:id="rId28"/>
    <sheet name="مخطط الكاشي" sheetId="55" r:id="rId29"/>
    <sheet name="حديد" sheetId="24" r:id="rId30"/>
    <sheet name="ابواب" sheetId="2" r:id="rId31"/>
    <sheet name="شبابيك" sheetId="1" r:id="rId32"/>
    <sheet name="ت.كهربائيه1" sheetId="4" r:id="rId33"/>
    <sheet name="ت.كهربائيه2" sheetId="3" r:id="rId34"/>
    <sheet name="ت.صحيه1" sheetId="9" r:id="rId35"/>
    <sheet name="ت.صحيه2" sheetId="8" r:id="rId36"/>
    <sheet name="ت.صحيه3" sheetId="10" r:id="rId37"/>
    <sheet name="مواد انشائيه1" sheetId="17" r:id="rId38"/>
    <sheet name="مواد انشائيه2" sheetId="16" r:id="rId39"/>
    <sheet name="مواد انشائيه3" sheetId="15" r:id="rId40"/>
    <sheet name="مواد انشائيه4" sheetId="39" r:id="rId41"/>
    <sheet name="الكلفه الكليه" sheetId="23" r:id="rId42"/>
    <sheet name="Sheet3" sheetId="59" r:id="rId43"/>
    <sheet name="Sheet1" sheetId="56" r:id="rId44"/>
  </sheets>
  <definedNames>
    <definedName name="_xlnm.Print_Area" localSheetId="30">ابواب!$A$1:$L$25</definedName>
    <definedName name="_xlnm.Print_Area" localSheetId="14">العاملين!$A$1:$L$24</definedName>
    <definedName name="_xlnm.Print_Area" localSheetId="0">'الكلفه  للسنوات'!$A$1:$I$55</definedName>
    <definedName name="_xlnm.Print_Area" localSheetId="41">'الكلفه الكليه'!$A$1:$G$22</definedName>
    <definedName name="_xlnm.Print_Area" localSheetId="17">بلوك!$A$1:$J$25</definedName>
    <definedName name="_xlnm.Print_Area" localSheetId="34">ت.صحيه1!$A$1:$M$25</definedName>
    <definedName name="_xlnm.Print_Area" localSheetId="35">ت.صحيه2!$A$1:$J$27</definedName>
    <definedName name="_xlnm.Print_Area" localSheetId="36">ت.صحيه3!$A$1:$I$24</definedName>
    <definedName name="_xlnm.Print_Area" localSheetId="32">ت.كهربائيه1!$A$1:$J$24</definedName>
    <definedName name="_xlnm.Print_Area" localSheetId="33">ت.كهربائيه2!$A$1:$G$24</definedName>
    <definedName name="_xlnm.Print_Area" localSheetId="29">حديد!$A$1:$G$24</definedName>
    <definedName name="_xlnm.Print_Area" localSheetId="20">حصى!$A$1:$H$25</definedName>
    <definedName name="_xlnm.Print_Area" localSheetId="3">'دور السكن ج'!$A$1:$J$25</definedName>
    <definedName name="_xlnm.Print_Area" localSheetId="23">سمنت!$A$1:$K$26</definedName>
    <definedName name="_xlnm.Print_Area" localSheetId="31">شبابيك!$A$1:$H$25</definedName>
    <definedName name="_xlnm.Print_Area" localSheetId="9">'صناعي اضافة'!$A$1:$F$14</definedName>
    <definedName name="_xlnm.Print_Area" localSheetId="16">طابوق!$A$1:$J$25</definedName>
    <definedName name="_xlnm.Print_Area" localSheetId="6">'عمارات تجاريه ج'!$A$1:$K$24</definedName>
    <definedName name="_xlnm.Print_Area" localSheetId="7">'عمارات تجاريه م'!$A$1:$J$20</definedName>
    <definedName name="_xlnm.Print_Area" localSheetId="26">كاشي!$A$1:$J$27</definedName>
    <definedName name="_xlnm.Print_Area" localSheetId="27">كاشي2!$A$1:$J$25</definedName>
    <definedName name="_xlnm.Print_Area" localSheetId="18">'مخطط الطابوق والبلوك'!$A$1:$O$27</definedName>
    <definedName name="_xlnm.Print_Area" localSheetId="37">'مواد انشائيه1'!$A$1:$H$24</definedName>
    <definedName name="_xlnm.Print_Area" localSheetId="38">'مواد انشائيه2'!$A$1:$J$24</definedName>
    <definedName name="_xlnm.Print_Area" localSheetId="39">'مواد انشائيه3'!$A$1:$H$24</definedName>
    <definedName name="_xlnm.Print_Area" localSheetId="40">'مواد انشائيه4'!$A$1:$J$24</definedName>
    <definedName name="_xlnm.Print_Area" localSheetId="1">مؤشرات!$A$1:$K$19</definedName>
  </definedNames>
  <calcPr calcId="162913" calcMode="manual"/>
</workbook>
</file>

<file path=xl/calcChain.xml><?xml version="1.0" encoding="utf-8"?>
<calcChain xmlns="http://schemas.openxmlformats.org/spreadsheetml/2006/main">
  <c r="C23" i="32" l="1"/>
  <c r="C22" i="32"/>
  <c r="C21" i="32"/>
  <c r="C20" i="32"/>
  <c r="C19" i="32"/>
  <c r="C18" i="32"/>
  <c r="F23" i="6" l="1"/>
  <c r="G23" i="6"/>
  <c r="B23" i="38" l="1"/>
  <c r="B8" i="23" l="1"/>
  <c r="B9" i="23"/>
  <c r="B10" i="23"/>
  <c r="B11" i="23"/>
  <c r="B12" i="23"/>
  <c r="B13" i="23"/>
  <c r="B14" i="23"/>
  <c r="B15" i="23"/>
  <c r="B7" i="23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9" i="39"/>
  <c r="G17" i="39"/>
  <c r="G15" i="39"/>
  <c r="G13" i="39"/>
  <c r="G11" i="39"/>
  <c r="E13" i="39"/>
  <c r="E11" i="39"/>
  <c r="E10" i="39"/>
  <c r="E9" i="39"/>
  <c r="C17" i="39"/>
  <c r="C13" i="39"/>
  <c r="C9" i="39"/>
  <c r="G10" i="15"/>
  <c r="G9" i="15"/>
  <c r="E23" i="15"/>
  <c r="E19" i="15"/>
  <c r="E20" i="15"/>
  <c r="E21" i="15"/>
  <c r="E22" i="15"/>
  <c r="E18" i="15"/>
  <c r="E17" i="15"/>
  <c r="E16" i="15"/>
  <c r="E15" i="15"/>
  <c r="E14" i="15"/>
  <c r="E13" i="15"/>
  <c r="E12" i="15"/>
  <c r="E11" i="15"/>
  <c r="E10" i="15"/>
  <c r="E9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I21" i="16"/>
  <c r="I20" i="16"/>
  <c r="I19" i="16"/>
  <c r="I18" i="16"/>
  <c r="I17" i="16"/>
  <c r="I15" i="16"/>
  <c r="I13" i="16"/>
  <c r="I10" i="16"/>
  <c r="I11" i="16"/>
  <c r="I12" i="16"/>
  <c r="I14" i="16"/>
  <c r="I16" i="16"/>
  <c r="I22" i="16"/>
  <c r="I23" i="16"/>
  <c r="I9" i="16"/>
  <c r="G22" i="16"/>
  <c r="G21" i="16"/>
  <c r="G20" i="16"/>
  <c r="G16" i="16"/>
  <c r="G12" i="16"/>
  <c r="G11" i="16"/>
  <c r="G10" i="16"/>
  <c r="G13" i="16"/>
  <c r="G14" i="16"/>
  <c r="G15" i="16"/>
  <c r="G17" i="16"/>
  <c r="G18" i="16"/>
  <c r="G19" i="16"/>
  <c r="G23" i="16"/>
  <c r="G9" i="16"/>
  <c r="E20" i="16"/>
  <c r="E17" i="16"/>
  <c r="E12" i="16"/>
  <c r="E10" i="16"/>
  <c r="E11" i="16"/>
  <c r="E13" i="16"/>
  <c r="E14" i="16"/>
  <c r="E15" i="16"/>
  <c r="E16" i="16"/>
  <c r="E18" i="16"/>
  <c r="E19" i="16"/>
  <c r="E21" i="16"/>
  <c r="E22" i="16"/>
  <c r="E23" i="16"/>
  <c r="E9" i="16"/>
  <c r="C23" i="16"/>
  <c r="C22" i="16"/>
  <c r="C21" i="16"/>
  <c r="C20" i="16"/>
  <c r="C19" i="16"/>
  <c r="C17" i="16"/>
  <c r="C16" i="16"/>
  <c r="C11" i="16"/>
  <c r="C10" i="16"/>
  <c r="C12" i="16"/>
  <c r="C13" i="16"/>
  <c r="C14" i="16"/>
  <c r="C15" i="16"/>
  <c r="C18" i="16"/>
  <c r="C9" i="16"/>
  <c r="G22" i="17" l="1"/>
  <c r="G21" i="17"/>
  <c r="G20" i="17"/>
  <c r="G19" i="17"/>
  <c r="G18" i="17"/>
  <c r="G17" i="17"/>
  <c r="G14" i="17"/>
  <c r="G11" i="17"/>
  <c r="G10" i="17"/>
  <c r="G12" i="17"/>
  <c r="G13" i="17"/>
  <c r="G15" i="17"/>
  <c r="G16" i="17"/>
  <c r="G23" i="17"/>
  <c r="G9" i="17"/>
  <c r="E23" i="17"/>
  <c r="E21" i="17"/>
  <c r="E18" i="17"/>
  <c r="E16" i="17"/>
  <c r="E15" i="17"/>
  <c r="E14" i="17"/>
  <c r="E13" i="17"/>
  <c r="E9" i="17"/>
  <c r="E10" i="17"/>
  <c r="E11" i="17"/>
  <c r="E12" i="17"/>
  <c r="E17" i="17"/>
  <c r="E19" i="17"/>
  <c r="E20" i="17"/>
  <c r="E22" i="17"/>
  <c r="C22" i="17"/>
  <c r="C19" i="17"/>
  <c r="C18" i="17"/>
  <c r="C17" i="17"/>
  <c r="C16" i="17"/>
  <c r="C15" i="17"/>
  <c r="C14" i="17"/>
  <c r="C13" i="17"/>
  <c r="C12" i="17"/>
  <c r="C11" i="17"/>
  <c r="C9" i="17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9" i="10"/>
  <c r="G23" i="10"/>
  <c r="G22" i="10"/>
  <c r="G21" i="10"/>
  <c r="G20" i="10"/>
  <c r="G19" i="10"/>
  <c r="G18" i="10"/>
  <c r="G17" i="10"/>
  <c r="G16" i="10"/>
  <c r="G15" i="10"/>
  <c r="G14" i="10"/>
  <c r="G13" i="10"/>
  <c r="G10" i="10"/>
  <c r="G11" i="10"/>
  <c r="G12" i="10"/>
  <c r="G9" i="10"/>
  <c r="E22" i="10"/>
  <c r="E18" i="10"/>
  <c r="E11" i="10"/>
  <c r="E13" i="10"/>
  <c r="E14" i="10"/>
  <c r="E10" i="10"/>
  <c r="E12" i="10"/>
  <c r="E15" i="10"/>
  <c r="E16" i="10"/>
  <c r="E17" i="10"/>
  <c r="E19" i="10"/>
  <c r="E20" i="10"/>
  <c r="E21" i="10"/>
  <c r="E23" i="10"/>
  <c r="E9" i="10"/>
  <c r="C11" i="10"/>
  <c r="C10" i="10"/>
  <c r="C9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I19" i="8"/>
  <c r="G23" i="8"/>
  <c r="G22" i="8"/>
  <c r="G21" i="8"/>
  <c r="G20" i="8"/>
  <c r="G19" i="8"/>
  <c r="G18" i="8"/>
  <c r="G17" i="8"/>
  <c r="G16" i="8"/>
  <c r="G15" i="8"/>
  <c r="G14" i="8"/>
  <c r="G13" i="8"/>
  <c r="G11" i="8"/>
  <c r="G10" i="8"/>
  <c r="G9" i="8"/>
  <c r="E23" i="8"/>
  <c r="E19" i="8"/>
  <c r="E18" i="8"/>
  <c r="E13" i="8"/>
  <c r="E11" i="8"/>
  <c r="E10" i="8"/>
  <c r="C13" i="8"/>
  <c r="C20" i="8"/>
  <c r="C16" i="8"/>
  <c r="C11" i="8"/>
  <c r="C10" i="8"/>
  <c r="C12" i="8"/>
  <c r="C14" i="8"/>
  <c r="C15" i="8"/>
  <c r="C17" i="8"/>
  <c r="C18" i="8"/>
  <c r="C19" i="8"/>
  <c r="C21" i="8"/>
  <c r="C22" i="8"/>
  <c r="C23" i="8"/>
  <c r="C9" i="8"/>
  <c r="K10" i="9" l="1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9" i="9"/>
  <c r="I19" i="9"/>
  <c r="I18" i="9"/>
  <c r="I16" i="9"/>
  <c r="I15" i="9"/>
  <c r="I13" i="9"/>
  <c r="I12" i="9"/>
  <c r="I11" i="9"/>
  <c r="I10" i="9"/>
  <c r="I14" i="9"/>
  <c r="I17" i="9"/>
  <c r="I20" i="9"/>
  <c r="I21" i="9"/>
  <c r="I22" i="9"/>
  <c r="I23" i="9"/>
  <c r="I9" i="9"/>
  <c r="G17" i="9"/>
  <c r="G9" i="9"/>
  <c r="G10" i="9"/>
  <c r="G11" i="9"/>
  <c r="G12" i="9"/>
  <c r="G13" i="9"/>
  <c r="G14" i="9"/>
  <c r="G15" i="9"/>
  <c r="G16" i="9"/>
  <c r="G18" i="9"/>
  <c r="G19" i="9"/>
  <c r="G20" i="9"/>
  <c r="G21" i="9"/>
  <c r="G22" i="9"/>
  <c r="G23" i="9"/>
  <c r="E13" i="9"/>
  <c r="E10" i="9"/>
  <c r="E11" i="9"/>
  <c r="E12" i="9"/>
  <c r="E14" i="9"/>
  <c r="E15" i="9"/>
  <c r="E16" i="9"/>
  <c r="E17" i="9"/>
  <c r="E18" i="9"/>
  <c r="E19" i="9"/>
  <c r="E20" i="9"/>
  <c r="E21" i="9"/>
  <c r="E22" i="9"/>
  <c r="E23" i="9"/>
  <c r="E9" i="9"/>
  <c r="C23" i="9"/>
  <c r="C19" i="9"/>
  <c r="C18" i="9"/>
  <c r="C16" i="9"/>
  <c r="C13" i="9"/>
  <c r="C10" i="9"/>
  <c r="C11" i="9"/>
  <c r="C12" i="9"/>
  <c r="C14" i="9"/>
  <c r="C15" i="9"/>
  <c r="C17" i="9"/>
  <c r="C20" i="9"/>
  <c r="C21" i="9"/>
  <c r="C22" i="9"/>
  <c r="C9" i="9"/>
  <c r="G23" i="4"/>
  <c r="G21" i="4"/>
  <c r="G19" i="4"/>
  <c r="I18" i="4"/>
  <c r="I13" i="4"/>
  <c r="E21" i="4"/>
  <c r="E13" i="4"/>
  <c r="C18" i="3"/>
  <c r="C21" i="3"/>
  <c r="C10" i="3"/>
  <c r="C13" i="3"/>
  <c r="F10" i="3"/>
  <c r="F11" i="3"/>
  <c r="F12" i="3"/>
  <c r="F13" i="3"/>
  <c r="F14" i="3"/>
  <c r="F15" i="3"/>
  <c r="F16" i="3"/>
  <c r="F17" i="3"/>
  <c r="F18" i="3"/>
  <c r="F19" i="3"/>
  <c r="F20" i="3"/>
  <c r="F22" i="3"/>
  <c r="F23" i="3"/>
  <c r="F9" i="3"/>
  <c r="E18" i="3"/>
  <c r="E20" i="3"/>
  <c r="E13" i="3"/>
  <c r="E10" i="3"/>
  <c r="E11" i="3"/>
  <c r="E12" i="3"/>
  <c r="E14" i="3"/>
  <c r="E15" i="3"/>
  <c r="E16" i="3"/>
  <c r="E17" i="3"/>
  <c r="E19" i="3"/>
  <c r="E21" i="3"/>
  <c r="E22" i="3"/>
  <c r="E23" i="3"/>
  <c r="E9" i="3"/>
  <c r="C11" i="3"/>
  <c r="C12" i="3"/>
  <c r="C14" i="3"/>
  <c r="C15" i="3"/>
  <c r="C16" i="3"/>
  <c r="C17" i="3"/>
  <c r="C19" i="3"/>
  <c r="C20" i="3"/>
  <c r="C22" i="3"/>
  <c r="C23" i="3"/>
  <c r="C9" i="3"/>
  <c r="D11" i="31" l="1"/>
  <c r="E11" i="31"/>
  <c r="F11" i="31"/>
  <c r="G11" i="31"/>
  <c r="C11" i="31"/>
  <c r="I10" i="4" l="1"/>
  <c r="I21" i="4"/>
  <c r="F21" i="3" s="1"/>
  <c r="I22" i="4"/>
  <c r="I11" i="4"/>
  <c r="I12" i="4"/>
  <c r="I14" i="4"/>
  <c r="I15" i="4"/>
  <c r="I16" i="4"/>
  <c r="I17" i="4"/>
  <c r="I19" i="4"/>
  <c r="I20" i="4"/>
  <c r="I9" i="4"/>
  <c r="E23" i="4"/>
  <c r="E16" i="4"/>
  <c r="E14" i="4"/>
  <c r="E10" i="4"/>
  <c r="E11" i="4"/>
  <c r="E12" i="4"/>
  <c r="E15" i="4"/>
  <c r="E17" i="4"/>
  <c r="E18" i="4"/>
  <c r="E19" i="4"/>
  <c r="E20" i="4"/>
  <c r="E22" i="4"/>
  <c r="E9" i="4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G9" i="1"/>
  <c r="F9" i="1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K9" i="2"/>
  <c r="J9" i="2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9" i="24"/>
  <c r="I24" i="12" l="1"/>
  <c r="H24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I9" i="12"/>
  <c r="H9" i="12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G9" i="6"/>
  <c r="F9" i="6"/>
  <c r="H10" i="29"/>
  <c r="I10" i="29"/>
  <c r="H11" i="29"/>
  <c r="I11" i="29"/>
  <c r="H12" i="29"/>
  <c r="I12" i="29"/>
  <c r="H13" i="29"/>
  <c r="I13" i="29"/>
  <c r="H14" i="29"/>
  <c r="I14" i="29"/>
  <c r="H15" i="29"/>
  <c r="I15" i="29"/>
  <c r="H16" i="29"/>
  <c r="I16" i="29"/>
  <c r="H17" i="29"/>
  <c r="I17" i="29"/>
  <c r="H18" i="29"/>
  <c r="I18" i="29"/>
  <c r="H19" i="29"/>
  <c r="I19" i="29"/>
  <c r="H20" i="29"/>
  <c r="I20" i="29"/>
  <c r="H21" i="29"/>
  <c r="I21" i="29"/>
  <c r="H22" i="29"/>
  <c r="I22" i="29"/>
  <c r="H23" i="29"/>
  <c r="I23" i="29"/>
  <c r="I9" i="29"/>
  <c r="H9" i="29"/>
  <c r="G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G9" i="7"/>
  <c r="F9" i="7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G9" i="13"/>
  <c r="F9" i="13"/>
  <c r="F10" i="5" l="1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G9" i="5"/>
  <c r="F9" i="5"/>
  <c r="H10" i="18" l="1"/>
  <c r="I10" i="18"/>
  <c r="H11" i="18"/>
  <c r="I11" i="18"/>
  <c r="H12" i="18"/>
  <c r="I12" i="18"/>
  <c r="H13" i="18"/>
  <c r="I13" i="18"/>
  <c r="H14" i="18"/>
  <c r="I14" i="18"/>
  <c r="H15" i="18"/>
  <c r="I15" i="18"/>
  <c r="H16" i="18"/>
  <c r="I16" i="18"/>
  <c r="H17" i="18"/>
  <c r="I17" i="18"/>
  <c r="H18" i="18"/>
  <c r="I18" i="18"/>
  <c r="H19" i="18"/>
  <c r="I19" i="18"/>
  <c r="H20" i="18"/>
  <c r="I20" i="18"/>
  <c r="H21" i="18"/>
  <c r="I21" i="18"/>
  <c r="H22" i="18"/>
  <c r="I22" i="18"/>
  <c r="H23" i="18"/>
  <c r="I23" i="18"/>
  <c r="I9" i="18"/>
  <c r="H9" i="18"/>
  <c r="I10" i="32"/>
  <c r="I11" i="32"/>
  <c r="I12" i="32"/>
  <c r="I13" i="32"/>
  <c r="I14" i="32"/>
  <c r="I15" i="32"/>
  <c r="I16" i="32"/>
  <c r="I17" i="32"/>
  <c r="I18" i="32"/>
  <c r="B16" i="23" s="1"/>
  <c r="I19" i="32"/>
  <c r="B17" i="23" s="1"/>
  <c r="I20" i="32"/>
  <c r="B18" i="23" s="1"/>
  <c r="I21" i="32"/>
  <c r="B19" i="23" s="1"/>
  <c r="I22" i="32"/>
  <c r="B20" i="23" s="1"/>
  <c r="I23" i="32"/>
  <c r="B21" i="23" s="1"/>
  <c r="I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9" i="3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I8" i="22"/>
  <c r="H8" i="22"/>
  <c r="D19" i="30"/>
  <c r="E19" i="30"/>
  <c r="F19" i="30"/>
  <c r="G19" i="30"/>
  <c r="H19" i="30"/>
  <c r="C19" i="30"/>
  <c r="E16" i="28" l="1"/>
  <c r="F16" i="28"/>
  <c r="G16" i="28"/>
  <c r="H16" i="28"/>
  <c r="I16" i="28"/>
  <c r="C16" i="28"/>
  <c r="D16" i="28"/>
  <c r="D14" i="25"/>
  <c r="E14" i="25"/>
  <c r="F14" i="25"/>
  <c r="G14" i="25"/>
  <c r="H14" i="25"/>
  <c r="I14" i="25"/>
  <c r="C14" i="25"/>
  <c r="I19" i="36" l="1"/>
  <c r="J10" i="21" l="1"/>
  <c r="J11" i="21"/>
  <c r="J12" i="21"/>
  <c r="J13" i="21"/>
  <c r="J14" i="21"/>
  <c r="J9" i="21"/>
  <c r="I10" i="21"/>
  <c r="I11" i="21"/>
  <c r="I12" i="21"/>
  <c r="I13" i="21"/>
  <c r="I14" i="21"/>
  <c r="I9" i="21"/>
  <c r="H10" i="21"/>
  <c r="H11" i="21"/>
  <c r="H12" i="21"/>
  <c r="H13" i="21"/>
  <c r="H14" i="21"/>
  <c r="H9" i="21"/>
  <c r="C13" i="37"/>
  <c r="D13" i="37"/>
  <c r="E13" i="37"/>
  <c r="F13" i="37"/>
  <c r="G13" i="37"/>
  <c r="H13" i="37"/>
  <c r="B13" i="37"/>
  <c r="C19" i="36"/>
  <c r="D19" i="36"/>
  <c r="E19" i="36"/>
  <c r="F19" i="36"/>
  <c r="G19" i="36"/>
  <c r="H19" i="36"/>
  <c r="B19" i="36"/>
  <c r="C11" i="57"/>
  <c r="D11" i="57"/>
  <c r="E11" i="57"/>
  <c r="B11" i="57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7" i="23"/>
  <c r="E24" i="24" l="1"/>
  <c r="C24" i="24"/>
  <c r="D24" i="24"/>
  <c r="C24" i="2"/>
  <c r="D24" i="2"/>
  <c r="E24" i="2"/>
  <c r="F24" i="2"/>
  <c r="G24" i="2"/>
  <c r="H24" i="2"/>
  <c r="I24" i="2"/>
  <c r="B24" i="2"/>
  <c r="K24" i="2" l="1"/>
  <c r="J24" i="2"/>
  <c r="C24" i="19"/>
  <c r="F24" i="24" l="1"/>
  <c r="C24" i="13"/>
  <c r="D24" i="13"/>
  <c r="E24" i="13"/>
  <c r="B24" i="13"/>
  <c r="G24" i="19"/>
  <c r="B24" i="19"/>
  <c r="G24" i="13" l="1"/>
  <c r="F24" i="13"/>
  <c r="C22" i="27"/>
  <c r="D24" i="4" l="1"/>
  <c r="C17" i="34" l="1"/>
  <c r="C22" i="23" l="1"/>
  <c r="C24" i="39" l="1"/>
  <c r="D24" i="39"/>
  <c r="E24" i="39"/>
  <c r="F24" i="39"/>
  <c r="G24" i="39"/>
  <c r="B24" i="39"/>
  <c r="C24" i="15"/>
  <c r="D24" i="15"/>
  <c r="E24" i="15"/>
  <c r="F24" i="15"/>
  <c r="G24" i="15"/>
  <c r="B24" i="15"/>
  <c r="C24" i="16"/>
  <c r="D24" i="16"/>
  <c r="E24" i="16"/>
  <c r="F24" i="16"/>
  <c r="G24" i="16"/>
  <c r="H24" i="16"/>
  <c r="I24" i="16"/>
  <c r="B24" i="16"/>
  <c r="C24" i="17"/>
  <c r="D24" i="17"/>
  <c r="E24" i="17"/>
  <c r="F24" i="17"/>
  <c r="G24" i="17"/>
  <c r="B24" i="17"/>
  <c r="H24" i="39" l="1"/>
  <c r="C24" i="10"/>
  <c r="D24" i="10"/>
  <c r="E24" i="10"/>
  <c r="F24" i="10"/>
  <c r="G24" i="10"/>
  <c r="B24" i="10"/>
  <c r="C24" i="8"/>
  <c r="D24" i="8"/>
  <c r="E24" i="8"/>
  <c r="F24" i="8"/>
  <c r="G24" i="8"/>
  <c r="H24" i="8"/>
  <c r="I24" i="8"/>
  <c r="B24" i="8"/>
  <c r="C24" i="9"/>
  <c r="D24" i="9"/>
  <c r="E24" i="9"/>
  <c r="F24" i="9"/>
  <c r="G24" i="9"/>
  <c r="H24" i="9"/>
  <c r="I24" i="9"/>
  <c r="J24" i="9"/>
  <c r="K24" i="9"/>
  <c r="B24" i="9"/>
  <c r="C24" i="3"/>
  <c r="D24" i="3"/>
  <c r="E24" i="3"/>
  <c r="B24" i="3"/>
  <c r="E24" i="4"/>
  <c r="F24" i="4"/>
  <c r="G24" i="4"/>
  <c r="H24" i="4"/>
  <c r="I24" i="4"/>
  <c r="B24" i="4"/>
  <c r="C24" i="4"/>
  <c r="H24" i="10" l="1"/>
  <c r="F24" i="3"/>
  <c r="C24" i="1"/>
  <c r="D24" i="1"/>
  <c r="E24" i="1"/>
  <c r="B24" i="1"/>
  <c r="B24" i="24"/>
  <c r="C24" i="12"/>
  <c r="D24" i="12"/>
  <c r="E24" i="12"/>
  <c r="F24" i="12"/>
  <c r="G24" i="12"/>
  <c r="B24" i="12"/>
  <c r="C24" i="11"/>
  <c r="D24" i="11"/>
  <c r="E24" i="11"/>
  <c r="F24" i="11"/>
  <c r="G24" i="11"/>
  <c r="H24" i="11"/>
  <c r="I24" i="11"/>
  <c r="B24" i="11"/>
  <c r="C24" i="29"/>
  <c r="D24" i="29"/>
  <c r="E24" i="29"/>
  <c r="F24" i="29"/>
  <c r="G24" i="29"/>
  <c r="B24" i="29"/>
  <c r="C24" i="7"/>
  <c r="D24" i="7"/>
  <c r="E24" i="7"/>
  <c r="B24" i="7"/>
  <c r="G24" i="7"/>
  <c r="F24" i="7"/>
  <c r="C24" i="5"/>
  <c r="D24" i="5"/>
  <c r="E24" i="5"/>
  <c r="B24" i="5"/>
  <c r="C24" i="18"/>
  <c r="D24" i="18"/>
  <c r="E24" i="18"/>
  <c r="F24" i="18"/>
  <c r="G24" i="18"/>
  <c r="H24" i="18"/>
  <c r="I24" i="18"/>
  <c r="B24" i="18"/>
  <c r="C24" i="32"/>
  <c r="D24" i="32"/>
  <c r="E24" i="32"/>
  <c r="F24" i="32"/>
  <c r="G24" i="32"/>
  <c r="H24" i="32"/>
  <c r="B24" i="32"/>
  <c r="G24" i="1" l="1"/>
  <c r="F24" i="1"/>
  <c r="I24" i="29"/>
  <c r="H24" i="29"/>
  <c r="F24" i="5"/>
  <c r="G24" i="5"/>
  <c r="I24" i="32"/>
  <c r="D22" i="23" l="1"/>
  <c r="B22" i="23"/>
  <c r="D17" i="34"/>
  <c r="E17" i="34"/>
  <c r="F17" i="34"/>
  <c r="G17" i="34"/>
  <c r="H17" i="34"/>
  <c r="D22" i="27"/>
  <c r="E22" i="27"/>
  <c r="F22" i="27"/>
  <c r="G22" i="27"/>
  <c r="H22" i="27"/>
  <c r="I22" i="27"/>
  <c r="J22" i="27"/>
  <c r="D24" i="19"/>
  <c r="E24" i="19"/>
  <c r="F24" i="19"/>
  <c r="B15" i="21" l="1"/>
  <c r="F23" i="22" l="1"/>
  <c r="D23" i="22"/>
  <c r="B23" i="22"/>
  <c r="J23" i="22"/>
  <c r="H23" i="22" l="1"/>
  <c r="G23" i="22" l="1"/>
  <c r="C23" i="22"/>
  <c r="E23" i="22"/>
  <c r="I23" i="22" l="1"/>
  <c r="K23" i="22"/>
  <c r="F24" i="6" l="1"/>
  <c r="D24" i="6"/>
  <c r="B24" i="6"/>
  <c r="E24" i="6"/>
  <c r="C24" i="6"/>
  <c r="G24" i="6" l="1"/>
  <c r="E24" i="20"/>
  <c r="G15" i="21" l="1"/>
  <c r="F15" i="21"/>
  <c r="E15" i="21"/>
  <c r="D15" i="21"/>
  <c r="C15" i="21"/>
  <c r="I15" i="21"/>
  <c r="F24" i="20"/>
  <c r="D24" i="20"/>
  <c r="C24" i="20"/>
  <c r="B24" i="20"/>
  <c r="H15" i="21" l="1"/>
  <c r="J15" i="21"/>
</calcChain>
</file>

<file path=xl/sharedStrings.xml><?xml version="1.0" encoding="utf-8"?>
<sst xmlns="http://schemas.openxmlformats.org/spreadsheetml/2006/main" count="1996" uniqueCount="476">
  <si>
    <t>المجموع</t>
  </si>
  <si>
    <t>Total</t>
  </si>
  <si>
    <t>صلاح الدين</t>
  </si>
  <si>
    <t>ديالى</t>
  </si>
  <si>
    <t>بغداد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</si>
  <si>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</si>
  <si>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</si>
  <si>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</si>
  <si>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</si>
  <si>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</si>
  <si>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</si>
  <si>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</si>
  <si>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</si>
  <si>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</si>
  <si>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Salah AL-Deen</t>
  </si>
  <si>
    <t>Diala</t>
  </si>
  <si>
    <t>Baghdad</t>
  </si>
  <si>
    <t>Al-Najaf</t>
  </si>
  <si>
    <t>Al-Qadisiya</t>
  </si>
  <si>
    <t>Al-Muthanna</t>
  </si>
  <si>
    <t>Thi-Qar</t>
  </si>
  <si>
    <t>Wasit</t>
  </si>
  <si>
    <t>Basrah</t>
  </si>
  <si>
    <t>Babylon</t>
  </si>
  <si>
    <t>Maysan</t>
  </si>
  <si>
    <t>Governorate</t>
  </si>
  <si>
    <t>العدد</t>
  </si>
  <si>
    <t>Number</t>
  </si>
  <si>
    <t xml:space="preserve">Cost </t>
  </si>
  <si>
    <t>كركوك</t>
  </si>
  <si>
    <t>Karkuk</t>
  </si>
  <si>
    <t>بوري</t>
  </si>
  <si>
    <t>سنك</t>
  </si>
  <si>
    <t>حمام كامل ملون</t>
  </si>
  <si>
    <t>طن</t>
  </si>
  <si>
    <t>سركت بريكر</t>
  </si>
  <si>
    <t>حديدية</t>
  </si>
  <si>
    <t>المنيوم</t>
  </si>
  <si>
    <t>انابيب بلاستيكية</t>
  </si>
  <si>
    <t>م</t>
  </si>
  <si>
    <t>m</t>
  </si>
  <si>
    <t>عادي</t>
  </si>
  <si>
    <t>فني</t>
  </si>
  <si>
    <t>بلكات</t>
  </si>
  <si>
    <t>مشطفة</t>
  </si>
  <si>
    <t>سويج رئيسي</t>
  </si>
  <si>
    <t>سويجات</t>
  </si>
  <si>
    <t>المحافظـة</t>
  </si>
  <si>
    <t>المحافظـــة</t>
  </si>
  <si>
    <t>المحافظــــة</t>
  </si>
  <si>
    <t>Table (16)</t>
  </si>
  <si>
    <t>المحافظة</t>
  </si>
  <si>
    <t xml:space="preserve">منهول </t>
  </si>
  <si>
    <t xml:space="preserve">خزان ماء </t>
  </si>
  <si>
    <t>انابيب آهين</t>
  </si>
  <si>
    <t>المحافظــة</t>
  </si>
  <si>
    <t>فرفوري</t>
  </si>
  <si>
    <t>موزائيك</t>
  </si>
  <si>
    <t>موزائيك صب موقعي</t>
  </si>
  <si>
    <t>مرمر</t>
  </si>
  <si>
    <t>سيراميك</t>
  </si>
  <si>
    <t>شتايكر</t>
  </si>
  <si>
    <t>صبات درج</t>
  </si>
  <si>
    <t>خشب</t>
  </si>
  <si>
    <t>عدد</t>
  </si>
  <si>
    <t>لتر</t>
  </si>
  <si>
    <t>لباد</t>
  </si>
  <si>
    <t>مبيد حشرات</t>
  </si>
  <si>
    <t>مانع الرطوبة</t>
  </si>
  <si>
    <t>قير</t>
  </si>
  <si>
    <t>زجاج</t>
  </si>
  <si>
    <t>Table (3)</t>
  </si>
  <si>
    <t>عدد الغرف</t>
  </si>
  <si>
    <t xml:space="preserve">عدد الدكاكين </t>
  </si>
  <si>
    <t>مساحة العرصة</t>
  </si>
  <si>
    <t>مساحة البناء</t>
  </si>
  <si>
    <t>الكلفة التخمينية</t>
  </si>
  <si>
    <t>المحافظــــــــة</t>
  </si>
  <si>
    <t>مساحة البناء (م²)</t>
  </si>
  <si>
    <t xml:space="preserve">الكلفة التخمينية  </t>
  </si>
  <si>
    <t>جديـــــــــــــــــــــــد</t>
  </si>
  <si>
    <t xml:space="preserve">إضافــــــــــــــــــــــــة </t>
  </si>
  <si>
    <t>Table( 2 )</t>
  </si>
  <si>
    <t>Cost</t>
  </si>
  <si>
    <t>عمال غير ماهرين</t>
  </si>
  <si>
    <t>عمال شبه ماهرين</t>
  </si>
  <si>
    <t>عمال ماهرين</t>
  </si>
  <si>
    <t>Unskilled Workers</t>
  </si>
  <si>
    <t>Semi Skilled Workers</t>
  </si>
  <si>
    <t>Skilled Workers</t>
  </si>
  <si>
    <t>الاجور</t>
  </si>
  <si>
    <t>Wages</t>
  </si>
  <si>
    <t>قيمة المواد الانشائية</t>
  </si>
  <si>
    <t>الأجور المدفوعة</t>
  </si>
  <si>
    <t>الكلفة الكلية</t>
  </si>
  <si>
    <t>Paid wages</t>
  </si>
  <si>
    <t>شيش</t>
  </si>
  <si>
    <t xml:space="preserve">طن </t>
  </si>
  <si>
    <t>Table ( 5 )</t>
  </si>
  <si>
    <t>عدد الطوابق</t>
  </si>
  <si>
    <t>عدد الشقق</t>
  </si>
  <si>
    <t>عدد الدكاكين</t>
  </si>
  <si>
    <t>TOTAL</t>
  </si>
  <si>
    <t>Table ( 7 )</t>
  </si>
  <si>
    <t>Table ( 8 )</t>
  </si>
  <si>
    <t>مقاوم</t>
  </si>
  <si>
    <t>ابيض</t>
  </si>
  <si>
    <t>Bricks</t>
  </si>
  <si>
    <t>عدد المعامل</t>
  </si>
  <si>
    <t>مساحة العرصة (م²)</t>
  </si>
  <si>
    <t xml:space="preserve">  مساحة البناء (  م²)</t>
  </si>
  <si>
    <t>Table ( 11 )</t>
  </si>
  <si>
    <t xml:space="preserve">     الكلفة التخمينية   </t>
  </si>
  <si>
    <t xml:space="preserve">الكلفة التخمينية </t>
  </si>
  <si>
    <t xml:space="preserve">  الكلفة التخمينية  </t>
  </si>
  <si>
    <t xml:space="preserve">    الكلفة التخمينية       </t>
  </si>
  <si>
    <t xml:space="preserve">       الكلفة التخمينية            </t>
  </si>
  <si>
    <t xml:space="preserve">الكلفة التخمينية           </t>
  </si>
  <si>
    <t>L</t>
  </si>
  <si>
    <t>m²</t>
  </si>
  <si>
    <t>No.</t>
  </si>
  <si>
    <t>m³</t>
  </si>
  <si>
    <t>ton</t>
  </si>
  <si>
    <t xml:space="preserve">Area of Land    </t>
  </si>
  <si>
    <t xml:space="preserve">Area of Building </t>
  </si>
  <si>
    <t xml:space="preserve">Area of Land </t>
  </si>
  <si>
    <t xml:space="preserve">Est. Cost </t>
  </si>
  <si>
    <t xml:space="preserve">      Est. Cost</t>
  </si>
  <si>
    <t>المحافظه</t>
  </si>
  <si>
    <t xml:space="preserve">Building Area </t>
  </si>
  <si>
    <t xml:space="preserve">Land Area </t>
  </si>
  <si>
    <t xml:space="preserve">المحافظــــــــة        </t>
  </si>
  <si>
    <t>Shops</t>
  </si>
  <si>
    <t xml:space="preserve"> Shops</t>
  </si>
  <si>
    <t xml:space="preserve">Est.Cost </t>
  </si>
  <si>
    <t>Stone</t>
  </si>
  <si>
    <t>New Building</t>
  </si>
  <si>
    <t>بناء جديد</t>
  </si>
  <si>
    <t>irons</t>
  </si>
  <si>
    <t>Flats</t>
  </si>
  <si>
    <t>New building</t>
  </si>
  <si>
    <t>New buildings</t>
  </si>
  <si>
    <t xml:space="preserve">خشب صاج    </t>
  </si>
  <si>
    <t xml:space="preserve">خشب جام           </t>
  </si>
  <si>
    <t>Ton</t>
  </si>
  <si>
    <t>Eest.Cost</t>
  </si>
  <si>
    <t>New</t>
  </si>
  <si>
    <t>Rooms</t>
  </si>
  <si>
    <t xml:space="preserve">     No.</t>
  </si>
  <si>
    <t xml:space="preserve">   No.</t>
  </si>
  <si>
    <t>Aluminum</t>
  </si>
  <si>
    <t>Wire</t>
  </si>
  <si>
    <t>Wood Jam</t>
  </si>
  <si>
    <t>Iron</t>
  </si>
  <si>
    <t>Normal</t>
  </si>
  <si>
    <t>Art</t>
  </si>
  <si>
    <t>Water tank</t>
  </si>
  <si>
    <t>Glass</t>
  </si>
  <si>
    <t>Taps</t>
  </si>
  <si>
    <t xml:space="preserve">تراب         </t>
  </si>
  <si>
    <t xml:space="preserve"> جص</t>
  </si>
  <si>
    <t xml:space="preserve"> تأسيسات صحية            </t>
  </si>
  <si>
    <t xml:space="preserve"> تأسيسات صحية</t>
  </si>
  <si>
    <t xml:space="preserve"> مواد انشائية اخرى</t>
  </si>
  <si>
    <t>Other Constructions Material</t>
  </si>
  <si>
    <t xml:space="preserve"> بلوك        </t>
  </si>
  <si>
    <t xml:space="preserve"> طابوق</t>
  </si>
  <si>
    <t xml:space="preserve"> تأسيسات كهربائية</t>
  </si>
  <si>
    <t xml:space="preserve">        أبواب</t>
  </si>
  <si>
    <t>حصى</t>
  </si>
  <si>
    <t xml:space="preserve"> رمل</t>
  </si>
  <si>
    <t>Sand</t>
  </si>
  <si>
    <t>Table ( 9 )</t>
  </si>
  <si>
    <t xml:space="preserve">Residential </t>
  </si>
  <si>
    <t>Social Purposes</t>
  </si>
  <si>
    <t>cost</t>
  </si>
  <si>
    <t xml:space="preserve">المجمـــوع    </t>
  </si>
  <si>
    <t>م²</t>
  </si>
  <si>
    <t>n.</t>
  </si>
  <si>
    <t>الكلفة التخمينيه</t>
  </si>
  <si>
    <t>cement</t>
  </si>
  <si>
    <t>مساحة العرصة (م)²</t>
  </si>
  <si>
    <t>م³</t>
  </si>
  <si>
    <t>تاسيسات صحية</t>
  </si>
  <si>
    <t>فلنتكـوت عازل</t>
  </si>
  <si>
    <t>NO.</t>
  </si>
  <si>
    <t>Table(1 )</t>
  </si>
  <si>
    <t>مساحة البناء م²</t>
  </si>
  <si>
    <t>مكسر</t>
  </si>
  <si>
    <t>اسود</t>
  </si>
  <si>
    <t>احمر</t>
  </si>
  <si>
    <t>Ceramics</t>
  </si>
  <si>
    <t>Steiger</t>
  </si>
  <si>
    <t>العدد : بالالف</t>
  </si>
  <si>
    <t>الكلفه:الف دينار</t>
  </si>
  <si>
    <r>
      <t>مساحة العرصة (م</t>
    </r>
    <r>
      <rPr>
        <b/>
        <sz val="11"/>
        <rFont val="Calibri"/>
        <family val="2"/>
      </rPr>
      <t>²)</t>
    </r>
  </si>
  <si>
    <t xml:space="preserve">  الكلفة التخمينية        </t>
  </si>
  <si>
    <t>الاجور:الف دينار</t>
  </si>
  <si>
    <t xml:space="preserve">      عادي</t>
  </si>
  <si>
    <t xml:space="preserve">     جمهوري</t>
  </si>
  <si>
    <t xml:space="preserve">     حجم كبير</t>
  </si>
  <si>
    <t xml:space="preserve">   حجم متوسط</t>
  </si>
  <si>
    <t xml:space="preserve">    حجم صغير</t>
  </si>
  <si>
    <t xml:space="preserve">Small size   </t>
  </si>
  <si>
    <t xml:space="preserve">     المجموع</t>
  </si>
  <si>
    <t xml:space="preserve">Total      </t>
  </si>
  <si>
    <t xml:space="preserve">       مقطع</t>
  </si>
  <si>
    <t xml:space="preserve">        خام</t>
  </si>
  <si>
    <t xml:space="preserve">Raw       </t>
  </si>
  <si>
    <t xml:space="preserve">      المجموع</t>
  </si>
  <si>
    <t xml:space="preserve">Total         </t>
  </si>
  <si>
    <t>حجر</t>
  </si>
  <si>
    <t xml:space="preserve">Meduim size   </t>
  </si>
  <si>
    <r>
      <t>م</t>
    </r>
    <r>
      <rPr>
        <b/>
        <sz val="11"/>
        <rFont val="Calibri"/>
        <family val="2"/>
      </rPr>
      <t>²</t>
    </r>
  </si>
  <si>
    <r>
      <t>m</t>
    </r>
    <r>
      <rPr>
        <b/>
        <sz val="11"/>
        <rFont val="Calibri"/>
        <family val="2"/>
      </rPr>
      <t>²</t>
    </r>
  </si>
  <si>
    <t xml:space="preserve">      شيلمان</t>
  </si>
  <si>
    <t>الكلفة</t>
  </si>
  <si>
    <t>كلفة</t>
  </si>
  <si>
    <t xml:space="preserve"> الكلفة</t>
  </si>
  <si>
    <t xml:space="preserve">     الكلفة                    </t>
  </si>
  <si>
    <t xml:space="preserve">       سلك</t>
  </si>
  <si>
    <t xml:space="preserve">     مراحيض</t>
  </si>
  <si>
    <t xml:space="preserve">Toilets     </t>
  </si>
  <si>
    <t xml:space="preserve">       بانيو</t>
  </si>
  <si>
    <t xml:space="preserve">     مغاسل</t>
  </si>
  <si>
    <r>
      <t>م</t>
    </r>
    <r>
      <rPr>
        <b/>
        <sz val="11"/>
        <rFont val="Aharoni"/>
        <charset val="177"/>
      </rPr>
      <t>²</t>
    </r>
  </si>
  <si>
    <r>
      <t>m</t>
    </r>
    <r>
      <rPr>
        <b/>
        <sz val="11"/>
        <rFont val="Aharoni"/>
        <charset val="177"/>
      </rPr>
      <t>²</t>
    </r>
  </si>
  <si>
    <r>
      <t>م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</si>
  <si>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</si>
  <si>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Calibri"/>
        <family val="2"/>
      </rPr>
      <t>³</t>
    </r>
  </si>
  <si>
    <t xml:space="preserve">   سقوف ثانويه</t>
  </si>
  <si>
    <t xml:space="preserve">   شبابيك الدكتات</t>
  </si>
  <si>
    <t>Republican</t>
  </si>
  <si>
    <t>Metal</t>
  </si>
  <si>
    <t>pluge</t>
  </si>
  <si>
    <t>Dust</t>
  </si>
  <si>
    <t>Secondary ceilings</t>
  </si>
  <si>
    <t xml:space="preserve">         كتائب الشبابيك</t>
  </si>
  <si>
    <t>Resistant</t>
  </si>
  <si>
    <t xml:space="preserve">Bath tub    </t>
  </si>
  <si>
    <t>Snik</t>
  </si>
  <si>
    <t>Rubber</t>
  </si>
  <si>
    <t xml:space="preserve">دور سكن  </t>
  </si>
  <si>
    <t xml:space="preserve">Dwelling </t>
  </si>
  <si>
    <t xml:space="preserve">العمارات السكنية </t>
  </si>
  <si>
    <t xml:space="preserve">العمارات التجارية </t>
  </si>
  <si>
    <t>Commercial</t>
  </si>
  <si>
    <t xml:space="preserve">أبنية  صناعية  </t>
  </si>
  <si>
    <t>Industrial</t>
  </si>
  <si>
    <t xml:space="preserve">أبنية  تجارية </t>
  </si>
  <si>
    <t>أبنية اجتماعية</t>
  </si>
  <si>
    <t xml:space="preserve">المجموع     </t>
  </si>
  <si>
    <t>الكلفة الكلية (مليون )</t>
  </si>
  <si>
    <t xml:space="preserve"> بلاط الارضية     (كاشي)</t>
  </si>
  <si>
    <t>Million</t>
  </si>
  <si>
    <t>Thrmeston</t>
  </si>
  <si>
    <t>Grit</t>
  </si>
  <si>
    <t>Marble</t>
  </si>
  <si>
    <t>Mosaic</t>
  </si>
  <si>
    <t>Floor tile</t>
  </si>
  <si>
    <t xml:space="preserve">Mosaic </t>
  </si>
  <si>
    <t xml:space="preserve">cost </t>
  </si>
  <si>
    <t>Tar</t>
  </si>
  <si>
    <t>Insecticide</t>
  </si>
  <si>
    <t>Flintcoat</t>
  </si>
  <si>
    <t>Duct windows</t>
  </si>
  <si>
    <t>Cast iron</t>
  </si>
  <si>
    <t>Tube</t>
  </si>
  <si>
    <t>Key</t>
  </si>
  <si>
    <t>Keys</t>
  </si>
  <si>
    <t>Washbasin</t>
  </si>
  <si>
    <t>Keyhole</t>
  </si>
  <si>
    <t>Bidet</t>
  </si>
  <si>
    <t>Slighted tubes</t>
  </si>
  <si>
    <t xml:space="preserve">Colored Bathroom </t>
  </si>
  <si>
    <t>Factories</t>
  </si>
  <si>
    <t>Addition</t>
  </si>
  <si>
    <t xml:space="preserve">  Rooms</t>
  </si>
  <si>
    <t>Red</t>
  </si>
  <si>
    <t>Black</t>
  </si>
  <si>
    <t>White</t>
  </si>
  <si>
    <t>Wood saj</t>
  </si>
  <si>
    <t>Wood</t>
  </si>
  <si>
    <t>Moisture Anti</t>
  </si>
  <si>
    <t xml:space="preserve">Big size   </t>
  </si>
  <si>
    <t xml:space="preserve">Broken    </t>
  </si>
  <si>
    <t>Broken</t>
  </si>
  <si>
    <t>العدد : الف بلوكه</t>
  </si>
  <si>
    <t>Conclusively   cycle</t>
  </si>
  <si>
    <t xml:space="preserve">الكلفة : الف دينار </t>
  </si>
  <si>
    <t>Dwellings Built</t>
  </si>
  <si>
    <t>AverageNumber of Employees</t>
  </si>
  <si>
    <t>Value ​​of Construction materials</t>
  </si>
  <si>
    <t>Residential Buildings</t>
  </si>
  <si>
    <t>WagesPaid</t>
  </si>
  <si>
    <t>Type of  Building</t>
  </si>
  <si>
    <t xml:space="preserve">New Dwellings </t>
  </si>
  <si>
    <t>Table (4)   Additions</t>
  </si>
  <si>
    <t>Flour</t>
  </si>
  <si>
    <t>Additions</t>
  </si>
  <si>
    <t xml:space="preserve">  Cement Bricks</t>
  </si>
  <si>
    <t>Plaster</t>
  </si>
  <si>
    <t>Floor Tile</t>
  </si>
  <si>
    <t>Windows</t>
  </si>
  <si>
    <t>Electrical Enstallation</t>
  </si>
  <si>
    <t>Sanitary Enstallation</t>
  </si>
  <si>
    <t xml:space="preserve">         Plastic Tubes</t>
  </si>
  <si>
    <t>Steps to Staires</t>
  </si>
  <si>
    <t>Frame For Windows</t>
  </si>
  <si>
    <t>TotalCost</t>
  </si>
  <si>
    <t>Value of construction Materials</t>
  </si>
  <si>
    <t xml:space="preserve"> year</t>
  </si>
  <si>
    <t>Est.Cost</t>
  </si>
  <si>
    <t>Porcelain</t>
  </si>
  <si>
    <t>Total Cost</t>
  </si>
  <si>
    <t xml:space="preserve">الانبار </t>
  </si>
  <si>
    <t>Al-Anbar</t>
  </si>
  <si>
    <t xml:space="preserve">المجموع </t>
  </si>
  <si>
    <t xml:space="preserve">عدد الطوابق </t>
  </si>
  <si>
    <t xml:space="preserve">عدد الغرف </t>
  </si>
  <si>
    <t>الانبار</t>
  </si>
  <si>
    <t xml:space="preserve">                                                                                                                                                                                                          </t>
  </si>
  <si>
    <t xml:space="preserve">   </t>
  </si>
  <si>
    <t xml:space="preserve">                                               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</si>
  <si>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</si>
  <si>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</si>
  <si>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</t>
  </si>
  <si>
    <t>انابيب بوري</t>
  </si>
  <si>
    <t xml:space="preserve"> عدد</t>
  </si>
  <si>
    <t>نينوى</t>
  </si>
  <si>
    <t>عدد الابنيه الصناعيه</t>
  </si>
  <si>
    <t>عدد الفنادق</t>
  </si>
  <si>
    <t>عدد المطاعم</t>
  </si>
  <si>
    <t>عدد الكازينوات</t>
  </si>
  <si>
    <t>Hotels</t>
  </si>
  <si>
    <t>Restaurants</t>
  </si>
  <si>
    <t>Casinos</t>
  </si>
  <si>
    <t>ابنية تجارية اخرى</t>
  </si>
  <si>
    <t>Building</t>
  </si>
  <si>
    <t>Other Commercil</t>
  </si>
  <si>
    <t>عدد الابنية الصحية</t>
  </si>
  <si>
    <t>Healthy</t>
  </si>
  <si>
    <t>اجور الاخرى</t>
  </si>
  <si>
    <t>ADDITIONS</t>
  </si>
  <si>
    <t>Table ( 10 )</t>
  </si>
  <si>
    <t>ثرمستون</t>
  </si>
  <si>
    <t>مواد  انشائية اخرى</t>
  </si>
  <si>
    <t>TOTL</t>
  </si>
  <si>
    <t>Other Wages</t>
  </si>
  <si>
    <t>السنوات</t>
  </si>
  <si>
    <t xml:space="preserve"> العدد</t>
  </si>
  <si>
    <t>عدد الورشات</t>
  </si>
  <si>
    <t xml:space="preserve">دينية </t>
  </si>
  <si>
    <t>Area of Land</t>
  </si>
  <si>
    <t>اضافة</t>
  </si>
  <si>
    <t>No</t>
  </si>
  <si>
    <t>اصباغ زيتية</t>
  </si>
  <si>
    <t>انابيب كونكريتية</t>
  </si>
  <si>
    <t xml:space="preserve"> </t>
  </si>
  <si>
    <t>المجموع الكلي للكلفة</t>
  </si>
  <si>
    <t>حديد</t>
  </si>
  <si>
    <t>إضافة</t>
  </si>
  <si>
    <t>الكلفة:الف دينار</t>
  </si>
  <si>
    <t>عدد الأبنية الدينية</t>
  </si>
  <si>
    <t>عدد الأبنية الخدمية</t>
  </si>
  <si>
    <t>Religious</t>
  </si>
  <si>
    <t>Service</t>
  </si>
  <si>
    <t>العدد : الف طابوقة</t>
  </si>
  <si>
    <t>الكلفة : الف دينار</t>
  </si>
  <si>
    <t>مجموع الكلف</t>
  </si>
  <si>
    <t xml:space="preserve">     قيمة المواد الانشائية(مليون)</t>
  </si>
  <si>
    <t xml:space="preserve"> الاجور المدفوعة    (مليون)</t>
  </si>
  <si>
    <t xml:space="preserve"> العمارات السكنية(عدد) </t>
  </si>
  <si>
    <t>السنة</t>
  </si>
  <si>
    <t>مجموع الاجور الكلية</t>
  </si>
  <si>
    <t>عدد الأبنية الخدمية الاخرى</t>
  </si>
  <si>
    <t xml:space="preserve">عدد العاملين </t>
  </si>
  <si>
    <t xml:space="preserve">عدد الدور المشيدة </t>
  </si>
  <si>
    <t>اجور العاملين</t>
  </si>
  <si>
    <t>Nineveh</t>
  </si>
  <si>
    <t>Karbala</t>
  </si>
  <si>
    <t>TOTAL COST OF BUILDING IN THE PRIVATE SECTOR FOR  (2011 -2024)</t>
  </si>
  <si>
    <t>COST OF CONSTRUCTION MATERIAL WAGESTRANSPORT IN THE PRIVATE SECTOR  BY GOVERNORATE  2024</t>
  </si>
  <si>
    <t xml:space="preserve">        QUANTITY AND COSTS FOR THE BUILDINGS MATERIAL BY GOVERNORAT  2024                                          </t>
  </si>
  <si>
    <t xml:space="preserve">           QUANTITY AND COSTS FOR THE BUILDINGS MATERIAL BY GOVERNORAT 2024                                             </t>
  </si>
  <si>
    <t>QUANTITY AND COSTS FOR THE  BUILDINGS MATERIAL BY GOVERNORAT  2024</t>
  </si>
  <si>
    <t>QUANTITY AND COSTS FOR THE BUILDINGS MATERIAL BY GOVERNORAT  2024</t>
  </si>
  <si>
    <t xml:space="preserve"> QUANTITY AND COSTS FOR THE  BUILDINGS MATERIAL BY GOVERNORAT    2024                                                                                            </t>
  </si>
  <si>
    <t xml:space="preserve">QUANTITY AND COSTS FOR THE BUILDINGS MATERIAL BY GOVERNORAT  2024                                                                                 </t>
  </si>
  <si>
    <t xml:space="preserve">QUANTITY AND COSTS FOR THE  BUILDINGS MATERIAL BY GOVERNORAT FOR THE  YEAR 2024                                                                                                                                                       </t>
  </si>
  <si>
    <t xml:space="preserve">        QUANTITY AND COSTS FOR THE BUILDINGS MATERIAL BYGOVERNORAT  2024</t>
  </si>
  <si>
    <t xml:space="preserve">                QUANTITY AND COSTS FOR THE  BUILDINGS MATERIAL BYGOVERNORAT  2024</t>
  </si>
  <si>
    <t xml:space="preserve">             QUANTITY AND COSTS FOR THE BUILDINGS MATERIAL BY GOVERNORAT  2024                    </t>
  </si>
  <si>
    <t xml:space="preserve">           QUANTITY AND COSTS FOR THE BUILDINGS MATERIAL BY GOVERNORAT  2024                    </t>
  </si>
  <si>
    <t xml:space="preserve"> EMPLOYEES AND WAGES IN THE PRIVATE SECTOR BY Kind and GOVERNORATE  2024 </t>
  </si>
  <si>
    <t xml:space="preserve"> COMPLETED BUILDINGS ( ADDITION) FOR THE PURPOSES OF SOCIAL SERVICES IN THE PRIVATE SECTOR BY GOVERNORATE FOR THE YAER 2024</t>
  </si>
  <si>
    <t xml:space="preserve"> COMPLETED BUILDINGS ( NEW) FOR THE PURPOSES SOCIAL SERVICES IN THE PRIVATE SECTOR BY GOVERNORATE FOR THE YAER 2024</t>
  </si>
  <si>
    <t xml:space="preserve"> COMPLETED BUILDINGS (ADDITON) FOR THE COMMERCIAL PURPOSES IN THE PRIVATE SECTOR BY GOVERNORATE 2024</t>
  </si>
  <si>
    <t xml:space="preserve"> COMPLETED BUILDINGS (NEW )FOR THE COMMERCIAL PURPOSES IN THE PRIVATE SECTOR BY GOVERNORATE 2024</t>
  </si>
  <si>
    <t xml:space="preserve"> COMPLETED BUILDINGS( ADDITON) FOR THE  INDUSTRIAL PURPOSES  IN THE PRIVATE SECTOR BY GOVERNORATE FOR THE YAER 2024</t>
  </si>
  <si>
    <t xml:space="preserve"> COMPLETED BUILDINGS( NEW) FOR THE  INDUSTRIAL PURPOSES  IN THE PRIVATE SECTOR BY GOVERNORATE FOR THE YAER 2024</t>
  </si>
  <si>
    <t>COMPLETED COMMERCIAL BUILDINGS (ADDITION) IN THE PRIVATE SECTOR BY GOVERNORATE  2024</t>
  </si>
  <si>
    <t xml:space="preserve">  COMPLETED COMMERCIAL( NEW) IN THE PRIVATE SECTOR BY GOVERNORATE   2024</t>
  </si>
  <si>
    <t>COMPLETED RESIDENTIAL BUILDINGS IN THE PRIVATE SECTOR BY GOVERNORATE  2024</t>
  </si>
  <si>
    <t xml:space="preserve">   ADDITION TO HOUSING CONSTRUSTION COMPLETED   IN THE PRIVATE SECTOR BY GOVERNORATE  2024</t>
  </si>
  <si>
    <t xml:space="preserve"> COMPLETED DWELLINGS IN THE PRIVATE SECTOR BY GOVERNORATE  2024 </t>
  </si>
  <si>
    <t xml:space="preserve">Key INDICATORS ESTIMATION FOR COMPLETED BUILDINGS IN THE PRIVATE SECTOR BY TYPES OF BUILDING 2024       </t>
  </si>
  <si>
    <t>نجف</t>
  </si>
  <si>
    <t xml:space="preserve">جدول (1) </t>
  </si>
  <si>
    <t>نوع البناء</t>
  </si>
  <si>
    <t xml:space="preserve"> (2011-2024 ) الكلفة الكلية  لأبنية القطاع الخاص للسنوات</t>
  </si>
  <si>
    <t xml:space="preserve">       (2) جدول     </t>
  </si>
  <si>
    <t xml:space="preserve">                         (2024)   المؤشرات الرئيسة لتقديرات الابنية المنجزة في القطاع الخاص حسب نوع البناء لسنة  </t>
  </si>
  <si>
    <t>دور جديدة</t>
  </si>
  <si>
    <t xml:space="preserve">     (3)جدول</t>
  </si>
  <si>
    <t>(2024)   دور السكن (الجديدة ) المنجزة  حسب المحافظات  لسنة</t>
  </si>
  <si>
    <t xml:space="preserve">(4)جدول  </t>
  </si>
  <si>
    <t>اضافات البناء</t>
  </si>
  <si>
    <t xml:space="preserve">2024  الاضافات لدور السكن المنجزة  حسب المحافظات لسنة </t>
  </si>
  <si>
    <t xml:space="preserve">(5)جدول </t>
  </si>
  <si>
    <t xml:space="preserve">2024 العمارات السكنية (الجديدة ) المنجزة  في القطاع الخاص حسب المحافظات لسنة </t>
  </si>
  <si>
    <t>2024  ملاحظة :لم يتم منح اجازة لتشييد العمارات السكنية الجديدة للمحافظات المتبقية لسنة .</t>
  </si>
  <si>
    <t>2024  ملاحظة :لم يتم اضافة بناء للعمارات السكنية في جميع المحافظات لسنة .</t>
  </si>
  <si>
    <t>Table (6 )</t>
  </si>
  <si>
    <t>(6)جدول</t>
  </si>
  <si>
    <t>2024 العمارات التجارية (الجديدة ) وملحقاتها المنجزة  حسب المحافظات لسنة</t>
  </si>
  <si>
    <t>(8) جدول</t>
  </si>
  <si>
    <t>2024 العمارات التجارية (المضافة) وملحقاتها المنجزة  حسب المحافظات لسنة</t>
  </si>
  <si>
    <t xml:space="preserve">2024 ملاحظة :لم يتم منح اجازة لتشييد للاضافة على العمارات التجارية للمحافظات المتبقية لسنة </t>
  </si>
  <si>
    <t>(7) جدول</t>
  </si>
  <si>
    <t xml:space="preserve">    بناء جديد</t>
  </si>
  <si>
    <t xml:space="preserve">2024 الابنية الصناعية (الجديدة )المنجزة في القطاع الخاص حسب المحافظات لسنة </t>
  </si>
  <si>
    <t>2024 ملاحظة :لم يتم منح اجازة لتشييد الابنية الصناعية للمحافظات المتبقية وكذلك للاضافة والتحوير لسنة .</t>
  </si>
  <si>
    <t xml:space="preserve">  (9) جدول</t>
  </si>
  <si>
    <t>2024 ملاحظة :لم يتم منح اجازة لتشييد الابنية الصناعية للمحافظات المتبقية لسنة</t>
  </si>
  <si>
    <t>عدد الابنية الصناعية الاخرى</t>
  </si>
  <si>
    <t xml:space="preserve">2024 الابنية الصناعية (المضافة) المنجزة في القطاع الخاص حسب المحافظات لسنة </t>
  </si>
  <si>
    <t>(10) جدول</t>
  </si>
  <si>
    <t>2024 ملاحظة: بالنسبة للكازينوهات والمطاعم والفنادق والابنية التجارية لم تردنا لبقية المحافظات لسنة</t>
  </si>
  <si>
    <t>2024 الابنية ( الجديدة ) المنجزة لاغراض التجارة في القطاع الخاص حسب المحافظات لسنة</t>
  </si>
  <si>
    <t>(11) جدول</t>
  </si>
  <si>
    <t xml:space="preserve">2024 الابنية ( المضافة ) المنجزة لاغراض التجارة في القطاع الخاص حسب المحافظات لسنة </t>
  </si>
  <si>
    <t xml:space="preserve">2024 ملاحظة :لم يتم منح اجازة لتشييد الابنية التجارية للمحافظات المتبقية لسنة </t>
  </si>
  <si>
    <t>Table (12)</t>
  </si>
  <si>
    <t xml:space="preserve">2024 الابنية ( الجديدة ) المنجزة لاغراض الخدمات الاجتماعية في القطاع الخاص حسب المحافظات لسنة </t>
  </si>
  <si>
    <t>(12) جدول</t>
  </si>
  <si>
    <t xml:space="preserve">2024 ملاحظة :لم يتم منح اجازة لتشييد الابنية الاجتماعية للمحافظات المتبقية لسنة </t>
  </si>
  <si>
    <t xml:space="preserve">Table( 13 ) </t>
  </si>
  <si>
    <t>(13) جدول رقم</t>
  </si>
  <si>
    <t xml:space="preserve"> 2024 الابنية (المضافة) المنجزة لاغراض الخدمات الاجتماعية في القطاع الخاص حسب المحافظات لسنة </t>
  </si>
  <si>
    <t>Table (14)</t>
  </si>
  <si>
    <t>(14) جدول</t>
  </si>
  <si>
    <t xml:space="preserve"> العاملين ومجموع الاجور المدفوعة لهم حسب اصنافهم حسب المحافظات لسنة   </t>
  </si>
  <si>
    <t>(15) جدول</t>
  </si>
  <si>
    <t xml:space="preserve">2024  كمية وقيمة المواد الانشائية المستخدمة حسب المحافظات لسنة </t>
  </si>
  <si>
    <t xml:space="preserve">Table ( 15 ) </t>
  </si>
  <si>
    <t xml:space="preserve"> (15) تابع جدول</t>
  </si>
  <si>
    <t xml:space="preserve">2024 كمية وقيمة المواد الانشائية المستخدمة حسب المحافظات لسنة   </t>
  </si>
  <si>
    <t xml:space="preserve">Con.  (15) </t>
  </si>
  <si>
    <t xml:space="preserve">Con. (15) </t>
  </si>
  <si>
    <t>2024 كمية وقيمة المواد الانشائية المستخدمة حسب المحافظات لسنة</t>
  </si>
  <si>
    <t>Con. (15)</t>
  </si>
  <si>
    <t xml:space="preserve">2024 كمية وقيمة المواد الانشائية المستخدمة حسب المحافظات لسنة </t>
  </si>
  <si>
    <t>سمنت</t>
  </si>
  <si>
    <t>2024 كمية وقيمة المواد الانشائية المستخدمة البناء حسب المحافظات لسنة</t>
  </si>
  <si>
    <t>(15) تابع جدول</t>
  </si>
  <si>
    <t>2024 كمية وقيمة المواد الانشائية المستخدمة في البناء حسب المحافظات لسنة</t>
  </si>
  <si>
    <t>FollowingTable ( 15 )</t>
  </si>
  <si>
    <t xml:space="preserve">Con. ( 15)        </t>
  </si>
  <si>
    <t>شبابيك</t>
  </si>
  <si>
    <t>تأسيسات كهربائية</t>
  </si>
  <si>
    <t>مواد انشائية اخرى</t>
  </si>
  <si>
    <t xml:space="preserve">con. ( 15 )              Other constuction material                                           </t>
  </si>
  <si>
    <t xml:space="preserve"> (16)  جدول</t>
  </si>
  <si>
    <t>2024 كلفة المواد الانشائية المستخدمة والاجور المدفوعة لابنية القطاع الخاص حسب المحافظات لسنة</t>
  </si>
  <si>
    <t>Con. (15)        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</si>
</sst>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0;[Red]0.00"/>
    <numFmt numFmtId="166" formatCode="#,##0;[Red]#,##0"/>
    <numFmt numFmtId="167" formatCode="#,##0_ ;[Red]\-#,##0\ "/>
    <numFmt numFmtId="168" formatCode="_(* #,##0_);_(* \(#,##0\);_(* &quot;-&quot;??_);_(@_)"/>
    <numFmt numFmtId="169" formatCode="_-* #,##0_-;_-* #,##0\-;_-* &quot;-&quot;??_-;_-@_-"/>
  </numFmts>
  <fonts count="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333333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</font>
    <font>
      <b/>
      <sz val="11"/>
      <color indexed="9"/>
      <name val="Arial"/>
      <family val="2"/>
    </font>
    <font>
      <b/>
      <sz val="11"/>
      <name val="Aharoni"/>
      <charset val="177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0">
    <xf numFmtId="0" fontId="0" fillId="0" borderId="0" xfId="0"/>
    <xf numFmtId="0" fontId="0" fillId="2" borderId="0" xfId="0" applyFill="1"/>
    <xf numFmtId="0" fontId="0" fillId="0" borderId="0" xfId="0" applyBorder="1"/>
    <xf numFmtId="1" fontId="0" fillId="0" borderId="0" xfId="0" applyNumberFormat="1"/>
    <xf numFmtId="0" fontId="0" fillId="0" borderId="0" xfId="0"/>
    <xf numFmtId="0" fontId="1" fillId="0" borderId="0" xfId="0" applyFont="1"/>
    <xf numFmtId="0" fontId="7" fillId="6" borderId="0" xfId="0" applyFont="1" applyFill="1"/>
    <xf numFmtId="0" fontId="7" fillId="6" borderId="0" xfId="0" applyFont="1" applyFill="1" applyBorder="1" applyAlignment="1">
      <alignment horizontal="left" vertical="center" wrapText="1"/>
    </xf>
    <xf numFmtId="0" fontId="9" fillId="0" borderId="0" xfId="0" applyFont="1"/>
    <xf numFmtId="0" fontId="7" fillId="7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2" borderId="0" xfId="0" applyFont="1" applyFill="1"/>
    <xf numFmtId="0" fontId="11" fillId="2" borderId="0" xfId="0" applyFont="1" applyFill="1"/>
    <xf numFmtId="0" fontId="11" fillId="3" borderId="0" xfId="0" applyFont="1" applyFill="1" applyBorder="1" applyAlignment="1">
      <alignment horizontal="right" vertical="center" wrapText="1"/>
    </xf>
    <xf numFmtId="0" fontId="7" fillId="0" borderId="0" xfId="0" applyFont="1"/>
    <xf numFmtId="0" fontId="7" fillId="3" borderId="0" xfId="0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7" fillId="6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6" borderId="0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3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" fontId="7" fillId="3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0" xfId="0" applyFont="1" applyFill="1" applyBorder="1" applyAlignment="1"/>
    <xf numFmtId="0" fontId="7" fillId="5" borderId="0" xfId="0" applyFont="1" applyFill="1"/>
    <xf numFmtId="0" fontId="7" fillId="7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0" fillId="0" borderId="0" xfId="0" applyAlignment="1"/>
    <xf numFmtId="3" fontId="7" fillId="7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/>
    <xf numFmtId="3" fontId="7" fillId="4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3" borderId="3" xfId="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/>
    </xf>
    <xf numFmtId="0" fontId="7" fillId="3" borderId="3" xfId="9" applyFont="1" applyFill="1" applyBorder="1" applyAlignment="1">
      <alignment horizontal="left" vertical="center" wrapText="1"/>
    </xf>
    <xf numFmtId="0" fontId="7" fillId="2" borderId="0" xfId="9" applyFont="1" applyFill="1" applyBorder="1" applyAlignment="1">
      <alignment vertical="center" wrapText="1"/>
    </xf>
    <xf numFmtId="1" fontId="7" fillId="2" borderId="0" xfId="9" applyNumberFormat="1" applyFont="1" applyFill="1" applyBorder="1" applyAlignment="1">
      <alignment vertical="center" wrapText="1"/>
    </xf>
    <xf numFmtId="0" fontId="7" fillId="6" borderId="0" xfId="9" applyFont="1" applyFill="1" applyBorder="1" applyAlignment="1">
      <alignment vertical="center" wrapText="1"/>
    </xf>
    <xf numFmtId="0" fontId="7" fillId="6" borderId="1" xfId="9" applyFont="1" applyFill="1" applyBorder="1" applyAlignment="1">
      <alignment horizontal="center" vertical="center" wrapText="1"/>
    </xf>
    <xf numFmtId="0" fontId="7" fillId="6" borderId="1" xfId="9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0" xfId="10" applyNumberFormat="1" applyFont="1" applyFill="1" applyBorder="1" applyAlignment="1">
      <alignment horizontal="right" vertical="center" wrapText="1"/>
    </xf>
    <xf numFmtId="0" fontId="7" fillId="2" borderId="0" xfId="10" applyFont="1" applyFill="1"/>
    <xf numFmtId="1" fontId="7" fillId="2" borderId="0" xfId="1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1" fontId="7" fillId="2" borderId="0" xfId="10" applyNumberFormat="1" applyFont="1" applyFill="1" applyBorder="1" applyAlignment="1">
      <alignment horizontal="left" vertical="center" wrapText="1"/>
    </xf>
    <xf numFmtId="1" fontId="7" fillId="2" borderId="0" xfId="10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vertical="center" wrapText="1"/>
    </xf>
    <xf numFmtId="1" fontId="7" fillId="6" borderId="1" xfId="10" applyNumberFormat="1" applyFont="1" applyFill="1" applyBorder="1" applyAlignment="1">
      <alignment vertical="center" wrapText="1"/>
    </xf>
    <xf numFmtId="0" fontId="7" fillId="6" borderId="1" xfId="10" applyFont="1" applyFill="1" applyBorder="1" applyAlignment="1">
      <alignment vertical="center" wrapText="1"/>
    </xf>
    <xf numFmtId="0" fontId="7" fillId="6" borderId="1" xfId="10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right" vertical="center" wrapText="1"/>
    </xf>
    <xf numFmtId="1" fontId="7" fillId="3" borderId="0" xfId="4" applyNumberFormat="1" applyFont="1" applyFill="1" applyBorder="1" applyAlignment="1">
      <alignment horizontal="center" vertical="center" wrapText="1"/>
    </xf>
    <xf numFmtId="1" fontId="7" fillId="3" borderId="0" xfId="4" applyNumberFormat="1" applyFont="1" applyFill="1" applyBorder="1" applyAlignment="1">
      <alignment horizontal="left" vertical="center" wrapText="1"/>
    </xf>
    <xf numFmtId="1" fontId="7" fillId="3" borderId="3" xfId="4" applyNumberFormat="1" applyFont="1" applyFill="1" applyBorder="1" applyAlignment="1">
      <alignment horizontal="left" vertical="center" wrapText="1"/>
    </xf>
    <xf numFmtId="0" fontId="7" fillId="3" borderId="0" xfId="4" applyFont="1" applyFill="1" applyBorder="1" applyAlignment="1">
      <alignment horizontal="center" vertical="center" wrapText="1"/>
    </xf>
    <xf numFmtId="1" fontId="7" fillId="3" borderId="0" xfId="4" applyNumberFormat="1" applyFont="1" applyFill="1" applyBorder="1" applyAlignment="1">
      <alignment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1" fontId="7" fillId="2" borderId="0" xfId="0" applyNumberFormat="1" applyFont="1" applyFill="1"/>
    <xf numFmtId="1" fontId="7" fillId="2" borderId="0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vertical="center" wrapText="1"/>
    </xf>
    <xf numFmtId="1" fontId="7" fillId="2" borderId="0" xfId="11" applyNumberFormat="1" applyFont="1" applyFill="1" applyBorder="1" applyAlignment="1">
      <alignment horizontal="right" vertical="center" wrapText="1"/>
    </xf>
    <xf numFmtId="1" fontId="7" fillId="2" borderId="0" xfId="11" applyNumberFormat="1" applyFont="1" applyFill="1" applyBorder="1" applyAlignment="1">
      <alignment vertical="center" wrapText="1"/>
    </xf>
    <xf numFmtId="1" fontId="7" fillId="2" borderId="3" xfId="11" applyNumberFormat="1" applyFont="1" applyFill="1" applyBorder="1" applyAlignment="1">
      <alignment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1" fontId="7" fillId="2" borderId="3" xfId="6" applyNumberFormat="1" applyFont="1" applyFill="1" applyBorder="1" applyAlignment="1">
      <alignment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2" borderId="3" xfId="6" applyNumberFormat="1" applyFont="1" applyFill="1" applyBorder="1" applyAlignment="1">
      <alignment horizontal="left" vertical="center" wrapText="1"/>
    </xf>
    <xf numFmtId="0" fontId="7" fillId="7" borderId="0" xfId="6" applyFont="1" applyFill="1" applyBorder="1" applyAlignment="1">
      <alignment vertical="center" wrapText="1"/>
    </xf>
    <xf numFmtId="0" fontId="7" fillId="3" borderId="0" xfId="6" applyFont="1" applyFill="1" applyBorder="1" applyAlignment="1">
      <alignment vertical="center" wrapText="1"/>
    </xf>
    <xf numFmtId="1" fontId="7" fillId="3" borderId="3" xfId="5" applyNumberFormat="1" applyFont="1" applyFill="1" applyBorder="1" applyAlignment="1">
      <alignment vertical="center" wrapText="1"/>
    </xf>
    <xf numFmtId="0" fontId="7" fillId="7" borderId="0" xfId="3" applyFont="1" applyFill="1" applyBorder="1" applyAlignment="1">
      <alignment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vertical="center" wrapText="1"/>
    </xf>
    <xf numFmtId="0" fontId="7" fillId="3" borderId="0" xfId="3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vertical="center" wrapText="1"/>
    </xf>
    <xf numFmtId="0" fontId="7" fillId="3" borderId="3" xfId="7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horizontal="left" vertical="center" wrapText="1"/>
    </xf>
    <xf numFmtId="0" fontId="7" fillId="2" borderId="0" xfId="5" applyFont="1" applyFill="1" applyBorder="1" applyAlignment="1"/>
    <xf numFmtId="0" fontId="7" fillId="7" borderId="1" xfId="5" applyFont="1" applyFill="1" applyBorder="1" applyAlignment="1">
      <alignment vertical="center" wrapText="1"/>
    </xf>
    <xf numFmtId="0" fontId="7" fillId="6" borderId="1" xfId="5" applyFont="1" applyFill="1" applyBorder="1" applyAlignment="1"/>
    <xf numFmtId="0" fontId="7" fillId="7" borderId="1" xfId="5" applyFont="1" applyFill="1" applyBorder="1" applyAlignment="1">
      <alignment horizontal="left" vertical="center" wrapText="1"/>
    </xf>
    <xf numFmtId="1" fontId="7" fillId="2" borderId="0" xfId="8" applyNumberFormat="1" applyFont="1" applyFill="1" applyBorder="1" applyAlignment="1">
      <alignment vertical="center" wrapText="1"/>
    </xf>
    <xf numFmtId="1" fontId="7" fillId="3" borderId="3" xfId="8" applyNumberFormat="1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0" fillId="5" borderId="0" xfId="0" applyFill="1"/>
    <xf numFmtId="3" fontId="7" fillId="5" borderId="0" xfId="0" applyNumberFormat="1" applyFont="1" applyFill="1" applyBorder="1" applyAlignment="1"/>
    <xf numFmtId="0" fontId="7" fillId="5" borderId="0" xfId="0" applyFont="1" applyFill="1" applyBorder="1"/>
    <xf numFmtId="0" fontId="7" fillId="5" borderId="0" xfId="0" applyFont="1" applyFill="1" applyBorder="1" applyAlignment="1">
      <alignment vertical="center" wrapText="1"/>
    </xf>
    <xf numFmtId="0" fontId="7" fillId="4" borderId="0" xfId="3" applyFont="1" applyFill="1" applyBorder="1" applyAlignment="1">
      <alignment vertical="center" wrapText="1"/>
    </xf>
    <xf numFmtId="0" fontId="7" fillId="4" borderId="0" xfId="3" applyFont="1" applyFill="1" applyBorder="1" applyAlignment="1">
      <alignment horizontal="left" vertical="center" wrapText="1"/>
    </xf>
    <xf numFmtId="0" fontId="7" fillId="6" borderId="1" xfId="8" applyFont="1" applyFill="1" applyBorder="1" applyAlignment="1">
      <alignment vertical="center" wrapText="1"/>
    </xf>
    <xf numFmtId="0" fontId="7" fillId="6" borderId="1" xfId="8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7" fillId="2" borderId="0" xfId="0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horizontal="left" vertical="center" wrapText="1"/>
    </xf>
    <xf numFmtId="0" fontId="7" fillId="2" borderId="0" xfId="1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3" fontId="7" fillId="4" borderId="0" xfId="11" applyNumberFormat="1" applyFont="1" applyFill="1" applyBorder="1" applyAlignment="1">
      <alignment vertical="center" wrapText="1"/>
    </xf>
    <xf numFmtId="1" fontId="7" fillId="4" borderId="0" xfId="11" applyNumberFormat="1" applyFont="1" applyFill="1" applyBorder="1" applyAlignment="1">
      <alignment horizontal="left" vertical="center" wrapText="1"/>
    </xf>
    <xf numFmtId="3" fontId="7" fillId="4" borderId="0" xfId="7" applyNumberFormat="1" applyFont="1" applyFill="1" applyBorder="1" applyAlignment="1">
      <alignment vertical="center" wrapText="1"/>
    </xf>
    <xf numFmtId="0" fontId="7" fillId="5" borderId="0" xfId="7" applyFont="1" applyFill="1" applyBorder="1" applyAlignment="1">
      <alignment horizontal="left" vertical="center" wrapText="1"/>
    </xf>
    <xf numFmtId="0" fontId="1" fillId="0" borderId="0" xfId="0" applyFont="1" applyAlignment="1"/>
    <xf numFmtId="0" fontId="5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7" fillId="3" borderId="3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3" borderId="0" xfId="11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3" borderId="0" xfId="5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0" fillId="0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0" fillId="5" borderId="0" xfId="0" applyFill="1" applyBorder="1"/>
    <xf numFmtId="3" fontId="7" fillId="4" borderId="7" xfId="0" applyNumberFormat="1" applyFont="1" applyFill="1" applyBorder="1" applyAlignment="1">
      <alignment vertical="center" wrapText="1"/>
    </xf>
    <xf numFmtId="0" fontId="0" fillId="5" borderId="7" xfId="0" applyFill="1" applyBorder="1"/>
    <xf numFmtId="0" fontId="7" fillId="6" borderId="7" xfId="0" applyFont="1" applyFill="1" applyBorder="1" applyAlignment="1">
      <alignment vertical="center" wrapText="1"/>
    </xf>
    <xf numFmtId="0" fontId="7" fillId="7" borderId="7" xfId="0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0" fillId="6" borderId="7" xfId="0" applyFill="1" applyBorder="1"/>
    <xf numFmtId="0" fontId="7" fillId="4" borderId="7" xfId="0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9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vertical="center" wrapText="1"/>
    </xf>
    <xf numFmtId="0" fontId="7" fillId="5" borderId="0" xfId="10" applyFont="1" applyFill="1" applyBorder="1" applyAlignment="1">
      <alignment vertical="center" wrapText="1"/>
    </xf>
    <xf numFmtId="0" fontId="7" fillId="4" borderId="0" xfId="10" applyFont="1" applyFill="1" applyBorder="1" applyAlignment="1">
      <alignment horizontal="right" vertical="center" wrapText="1"/>
    </xf>
    <xf numFmtId="1" fontId="7" fillId="4" borderId="0" xfId="10" applyNumberFormat="1" applyFont="1" applyFill="1" applyBorder="1" applyAlignment="1">
      <alignment horizontal="right" vertical="center" wrapText="1"/>
    </xf>
    <xf numFmtId="1" fontId="7" fillId="5" borderId="0" xfId="10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0" xfId="11" applyFont="1" applyFill="1" applyBorder="1" applyAlignment="1">
      <alignment horizontal="center" vertical="center" wrapText="1"/>
    </xf>
    <xf numFmtId="0" fontId="7" fillId="4" borderId="0" xfId="11" applyFont="1" applyFill="1" applyBorder="1" applyAlignment="1">
      <alignment vertical="center" wrapText="1"/>
    </xf>
    <xf numFmtId="0" fontId="7" fillId="4" borderId="0" xfId="2" applyFont="1" applyFill="1" applyBorder="1" applyAlignment="1">
      <alignment vertical="center" wrapText="1"/>
    </xf>
    <xf numFmtId="0" fontId="7" fillId="5" borderId="0" xfId="6" applyFont="1" applyFill="1" applyBorder="1" applyAlignment="1">
      <alignment horizontal="center" vertical="center" wrapText="1"/>
    </xf>
    <xf numFmtId="0" fontId="7" fillId="5" borderId="0" xfId="6" applyFont="1" applyFill="1" applyBorder="1" applyAlignment="1">
      <alignment horizontal="right" vertical="center" wrapText="1"/>
    </xf>
    <xf numFmtId="0" fontId="7" fillId="4" borderId="0" xfId="6" applyFont="1" applyFill="1" applyBorder="1" applyAlignment="1">
      <alignment vertical="center" wrapText="1"/>
    </xf>
    <xf numFmtId="1" fontId="7" fillId="4" borderId="7" xfId="6" applyNumberFormat="1" applyFont="1" applyFill="1" applyBorder="1" applyAlignment="1">
      <alignment horizontal="right" vertical="center" wrapText="1"/>
    </xf>
    <xf numFmtId="3" fontId="7" fillId="4" borderId="7" xfId="6" applyNumberFormat="1" applyFont="1" applyFill="1" applyBorder="1" applyAlignment="1">
      <alignment vertical="center" wrapText="1"/>
    </xf>
    <xf numFmtId="1" fontId="7" fillId="4" borderId="7" xfId="6" applyNumberFormat="1" applyFont="1" applyFill="1" applyBorder="1" applyAlignment="1">
      <alignment horizontal="left" vertical="center" wrapText="1"/>
    </xf>
    <xf numFmtId="0" fontId="7" fillId="5" borderId="0" xfId="3" applyFont="1" applyFill="1" applyBorder="1" applyAlignment="1">
      <alignment horizontal="center" vertical="center" wrapText="1"/>
    </xf>
    <xf numFmtId="0" fontId="7" fillId="5" borderId="0" xfId="3" applyFont="1" applyFill="1" applyBorder="1" applyAlignment="1">
      <alignment vertical="center" wrapText="1"/>
    </xf>
    <xf numFmtId="1" fontId="7" fillId="4" borderId="2" xfId="7" applyNumberFormat="1" applyFont="1" applyFill="1" applyBorder="1" applyAlignment="1">
      <alignment horizontal="right" vertical="center" wrapText="1"/>
    </xf>
    <xf numFmtId="0" fontId="7" fillId="4" borderId="2" xfId="7" applyFont="1" applyFill="1" applyBorder="1" applyAlignment="1">
      <alignment horizontal="right" vertical="center" wrapText="1"/>
    </xf>
    <xf numFmtId="0" fontId="7" fillId="4" borderId="2" xfId="8" applyFont="1" applyFill="1" applyBorder="1" applyAlignment="1">
      <alignment horizontal="right" vertical="center" wrapText="1"/>
    </xf>
    <xf numFmtId="1" fontId="7" fillId="4" borderId="2" xfId="7" applyNumberFormat="1" applyFont="1" applyFill="1" applyBorder="1" applyAlignment="1">
      <alignment horizontal="left" vertical="center" wrapText="1"/>
    </xf>
    <xf numFmtId="1" fontId="7" fillId="4" borderId="0" xfId="7" applyNumberFormat="1" applyFont="1" applyFill="1" applyBorder="1" applyAlignment="1">
      <alignment horizontal="right" vertical="center" wrapText="1"/>
    </xf>
    <xf numFmtId="0" fontId="7" fillId="4" borderId="0" xfId="7" applyFont="1" applyFill="1" applyBorder="1" applyAlignment="1">
      <alignment horizontal="right" vertical="center" wrapText="1"/>
    </xf>
    <xf numFmtId="1" fontId="7" fillId="4" borderId="0" xfId="8" applyNumberFormat="1" applyFont="1" applyFill="1" applyBorder="1" applyAlignment="1">
      <alignment horizontal="right" vertical="center" wrapText="1"/>
    </xf>
    <xf numFmtId="1" fontId="7" fillId="4" borderId="0" xfId="7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7" fillId="5" borderId="0" xfId="8" applyFont="1" applyFill="1" applyBorder="1" applyAlignment="1">
      <alignment vertical="center" wrapText="1"/>
    </xf>
    <xf numFmtId="0" fontId="7" fillId="4" borderId="0" xfId="8" applyFont="1" applyFill="1" applyBorder="1" applyAlignment="1">
      <alignment horizontal="center" vertical="center" wrapText="1"/>
    </xf>
    <xf numFmtId="1" fontId="7" fillId="4" borderId="0" xfId="8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0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right" vertical="center" wrapText="1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/>
    <xf numFmtId="3" fontId="7" fillId="0" borderId="0" xfId="12" applyNumberFormat="1" applyFont="1" applyFill="1" applyBorder="1" applyAlignment="1">
      <alignment vertical="center" wrapText="1"/>
    </xf>
    <xf numFmtId="3" fontId="7" fillId="0" borderId="0" xfId="13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Fill="1" applyBorder="1"/>
    <xf numFmtId="1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left" vertical="center" wrapText="1"/>
    </xf>
    <xf numFmtId="1" fontId="0" fillId="0" borderId="0" xfId="0" applyNumberFormat="1" applyFill="1" applyBorder="1"/>
    <xf numFmtId="1" fontId="0" fillId="0" borderId="0" xfId="0" applyNumberFormat="1" applyFill="1"/>
    <xf numFmtId="0" fontId="1" fillId="0" borderId="0" xfId="0" applyFont="1" applyFill="1"/>
    <xf numFmtId="0" fontId="7" fillId="0" borderId="7" xfId="0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vertical="center" wrapText="1"/>
    </xf>
    <xf numFmtId="166" fontId="7" fillId="0" borderId="5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0" fontId="7" fillId="0" borderId="0" xfId="9" applyFont="1" applyFill="1" applyBorder="1" applyAlignment="1">
      <alignment horizontal="right" vertical="center" wrapText="1"/>
    </xf>
    <xf numFmtId="3" fontId="7" fillId="0" borderId="0" xfId="9" applyNumberFormat="1" applyFont="1" applyFill="1" applyBorder="1" applyAlignment="1">
      <alignment vertical="center" wrapText="1"/>
    </xf>
    <xf numFmtId="1" fontId="7" fillId="0" borderId="0" xfId="9" applyNumberFormat="1" applyFont="1" applyFill="1" applyBorder="1" applyAlignment="1">
      <alignment horizontal="left" vertical="center" wrapText="1"/>
    </xf>
    <xf numFmtId="0" fontId="7" fillId="0" borderId="0" xfId="9" applyFont="1" applyFill="1" applyBorder="1" applyAlignment="1">
      <alignment horizontal="left" vertical="center" wrapText="1"/>
    </xf>
    <xf numFmtId="1" fontId="7" fillId="0" borderId="0" xfId="9" applyNumberFormat="1" applyFont="1" applyFill="1" applyBorder="1" applyAlignment="1">
      <alignment horizontal="right" vertical="center" wrapText="1"/>
    </xf>
    <xf numFmtId="0" fontId="7" fillId="0" borderId="7" xfId="9" applyFont="1" applyFill="1" applyBorder="1" applyAlignment="1">
      <alignment vertical="center" wrapText="1"/>
    </xf>
    <xf numFmtId="3" fontId="7" fillId="0" borderId="7" xfId="9" applyNumberFormat="1" applyFont="1" applyFill="1" applyBorder="1" applyAlignment="1">
      <alignment vertical="center" wrapText="1"/>
    </xf>
    <xf numFmtId="1" fontId="7" fillId="0" borderId="0" xfId="10" applyNumberFormat="1" applyFont="1" applyFill="1" applyBorder="1" applyAlignment="1">
      <alignment horizontal="right" vertical="center" wrapText="1"/>
    </xf>
    <xf numFmtId="3" fontId="7" fillId="0" borderId="0" xfId="10" applyNumberFormat="1" applyFont="1" applyFill="1" applyBorder="1" applyAlignment="1">
      <alignment vertical="center" wrapText="1"/>
    </xf>
    <xf numFmtId="1" fontId="7" fillId="0" borderId="0" xfId="10" applyNumberFormat="1" applyFont="1" applyFill="1" applyBorder="1" applyAlignment="1">
      <alignment horizontal="left" vertical="center" wrapText="1"/>
    </xf>
    <xf numFmtId="0" fontId="7" fillId="0" borderId="0" xfId="10" applyFont="1" applyFill="1" applyBorder="1" applyAlignment="1">
      <alignment horizontal="right" vertical="center" wrapText="1"/>
    </xf>
    <xf numFmtId="0" fontId="7" fillId="0" borderId="0" xfId="10" applyFont="1" applyFill="1" applyBorder="1" applyAlignment="1">
      <alignment horizontal="left" vertical="center" wrapText="1"/>
    </xf>
    <xf numFmtId="0" fontId="7" fillId="0" borderId="7" xfId="10" applyFont="1" applyFill="1" applyBorder="1" applyAlignment="1">
      <alignment vertical="center" wrapText="1"/>
    </xf>
    <xf numFmtId="3" fontId="7" fillId="0" borderId="7" xfId="10" applyNumberFormat="1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vertical="center" wrapText="1"/>
    </xf>
    <xf numFmtId="0" fontId="7" fillId="0" borderId="0" xfId="4" applyFont="1" applyFill="1" applyBorder="1" applyAlignment="1">
      <alignment horizontal="left" vertical="center" wrapText="1"/>
    </xf>
    <xf numFmtId="1" fontId="7" fillId="0" borderId="0" xfId="4" applyNumberFormat="1" applyFont="1" applyFill="1" applyBorder="1" applyAlignment="1">
      <alignment horizontal="right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0" fontId="7" fillId="0" borderId="7" xfId="4" applyFont="1" applyFill="1" applyBorder="1" applyAlignment="1">
      <alignment vertical="center" wrapText="1"/>
    </xf>
    <xf numFmtId="3" fontId="7" fillId="0" borderId="0" xfId="14" applyNumberFormat="1" applyFont="1" applyFill="1" applyBorder="1" applyAlignment="1">
      <alignment vertical="center" wrapText="1"/>
    </xf>
    <xf numFmtId="3" fontId="7" fillId="0" borderId="0" xfId="15" applyNumberFormat="1" applyFont="1" applyFill="1" applyBorder="1" applyAlignment="1">
      <alignment vertical="center" wrapText="1"/>
    </xf>
    <xf numFmtId="3" fontId="7" fillId="0" borderId="0" xfId="16" applyNumberFormat="1" applyFont="1" applyFill="1" applyBorder="1" applyAlignment="1">
      <alignment vertical="center" wrapText="1"/>
    </xf>
    <xf numFmtId="1" fontId="7" fillId="0" borderId="7" xfId="11" applyNumberFormat="1" applyFont="1" applyFill="1" applyBorder="1" applyAlignment="1">
      <alignment horizontal="right" vertical="center" wrapText="1"/>
    </xf>
    <xf numFmtId="3" fontId="7" fillId="0" borderId="7" xfId="11" applyNumberFormat="1" applyFont="1" applyFill="1" applyBorder="1" applyAlignment="1">
      <alignment vertical="center" wrapText="1"/>
    </xf>
    <xf numFmtId="1" fontId="7" fillId="0" borderId="7" xfId="1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0" xfId="2" applyFont="1" applyFill="1" applyBorder="1" applyAlignment="1">
      <alignment horizontal="right" vertical="center" wrapText="1"/>
    </xf>
    <xf numFmtId="1" fontId="7" fillId="0" borderId="0" xfId="2" applyNumberFormat="1" applyFont="1" applyFill="1" applyBorder="1" applyAlignment="1">
      <alignment horizontal="right" vertical="center" wrapText="1"/>
    </xf>
    <xf numFmtId="1" fontId="7" fillId="0" borderId="0" xfId="2" applyNumberFormat="1" applyFont="1" applyFill="1" applyBorder="1" applyAlignment="1">
      <alignment horizontal="left" vertical="center" wrapText="1"/>
    </xf>
    <xf numFmtId="0" fontId="7" fillId="0" borderId="0" xfId="6" applyFont="1" applyFill="1" applyBorder="1" applyAlignment="1">
      <alignment horizontal="right" vertical="center" wrapText="1"/>
    </xf>
    <xf numFmtId="3" fontId="7" fillId="0" borderId="0" xfId="6" applyNumberFormat="1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left" vertical="center" wrapText="1"/>
    </xf>
    <xf numFmtId="1" fontId="7" fillId="0" borderId="0" xfId="6" applyNumberFormat="1" applyFont="1" applyFill="1" applyBorder="1" applyAlignment="1">
      <alignment horizontal="right" vertical="center" wrapText="1"/>
    </xf>
    <xf numFmtId="1" fontId="7" fillId="0" borderId="0" xfId="6" applyNumberFormat="1" applyFont="1" applyFill="1" applyBorder="1" applyAlignment="1">
      <alignment horizontal="left" vertical="center" wrapText="1"/>
    </xf>
    <xf numFmtId="3" fontId="7" fillId="0" borderId="0" xfId="6" applyNumberFormat="1" applyFont="1" applyFill="1" applyBorder="1" applyAlignment="1">
      <alignment horizontal="left" vertical="center" wrapText="1"/>
    </xf>
    <xf numFmtId="1" fontId="7" fillId="0" borderId="7" xfId="6" applyNumberFormat="1" applyFont="1" applyFill="1" applyBorder="1" applyAlignment="1">
      <alignment horizontal="right" vertical="center" wrapText="1"/>
    </xf>
    <xf numFmtId="3" fontId="7" fillId="0" borderId="7" xfId="6" applyNumberFormat="1" applyFont="1" applyFill="1" applyBorder="1" applyAlignment="1">
      <alignment vertical="center" wrapText="1"/>
    </xf>
    <xf numFmtId="3" fontId="7" fillId="0" borderId="7" xfId="6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/>
    <xf numFmtId="3" fontId="7" fillId="0" borderId="0" xfId="7" applyNumberFormat="1" applyFont="1" applyFill="1" applyBorder="1" applyAlignment="1">
      <alignment vertical="center" wrapText="1"/>
    </xf>
    <xf numFmtId="3" fontId="7" fillId="0" borderId="0" xfId="8" applyNumberFormat="1" applyFont="1" applyFill="1" applyBorder="1" applyAlignment="1">
      <alignment vertical="center" wrapText="1"/>
    </xf>
    <xf numFmtId="3" fontId="9" fillId="0" borderId="0" xfId="6" applyNumberFormat="1" applyFont="1" applyFill="1" applyBorder="1" applyAlignment="1">
      <alignment horizontal="left" vertical="center" wrapText="1"/>
    </xf>
    <xf numFmtId="0" fontId="7" fillId="0" borderId="7" xfId="7" applyFont="1" applyFill="1" applyBorder="1" applyAlignment="1">
      <alignment vertical="center" wrapText="1"/>
    </xf>
    <xf numFmtId="3" fontId="7" fillId="0" borderId="7" xfId="7" applyNumberFormat="1" applyFont="1" applyFill="1" applyBorder="1" applyAlignment="1">
      <alignment vertical="center" wrapText="1"/>
    </xf>
    <xf numFmtId="0" fontId="7" fillId="0" borderId="7" xfId="7" applyFont="1" applyFill="1" applyBorder="1" applyAlignment="1">
      <alignment horizontal="left" vertical="center" wrapText="1"/>
    </xf>
    <xf numFmtId="1" fontId="7" fillId="0" borderId="0" xfId="7" applyNumberFormat="1" applyFont="1" applyFill="1" applyBorder="1" applyAlignment="1">
      <alignment horizontal="right" vertical="center" wrapText="1"/>
    </xf>
    <xf numFmtId="3" fontId="7" fillId="0" borderId="0" xfId="7" applyNumberFormat="1" applyFont="1" applyFill="1" applyBorder="1" applyAlignment="1">
      <alignment horizontal="left" vertical="center" wrapText="1"/>
    </xf>
    <xf numFmtId="3" fontId="7" fillId="0" borderId="3" xfId="7" applyNumberFormat="1" applyFont="1" applyFill="1" applyBorder="1" applyAlignment="1">
      <alignment horizontal="left" vertical="center" wrapText="1"/>
    </xf>
    <xf numFmtId="0" fontId="7" fillId="0" borderId="6" xfId="5" applyFont="1" applyFill="1" applyBorder="1" applyAlignment="1">
      <alignment horizontal="right" vertical="center" wrapText="1"/>
    </xf>
    <xf numFmtId="3" fontId="7" fillId="0" borderId="6" xfId="7" applyNumberFormat="1" applyFont="1" applyFill="1" applyBorder="1" applyAlignment="1">
      <alignment vertical="center" wrapText="1"/>
    </xf>
    <xf numFmtId="0" fontId="7" fillId="0" borderId="6" xfId="5" applyFont="1" applyFill="1" applyBorder="1" applyAlignment="1">
      <alignment horizontal="left" vertical="center" wrapText="1"/>
    </xf>
    <xf numFmtId="3" fontId="7" fillId="0" borderId="0" xfId="0" applyNumberFormat="1" applyFont="1" applyFill="1" applyBorder="1"/>
    <xf numFmtId="0" fontId="7" fillId="0" borderId="7" xfId="5" applyFont="1" applyFill="1" applyBorder="1" applyAlignment="1">
      <alignment horizontal="right" vertical="center" wrapText="1"/>
    </xf>
    <xf numFmtId="3" fontId="8" fillId="0" borderId="0" xfId="7" applyNumberFormat="1" applyFont="1" applyFill="1" applyBorder="1" applyAlignment="1">
      <alignment vertical="center" wrapText="1"/>
    </xf>
    <xf numFmtId="3" fontId="8" fillId="0" borderId="0" xfId="8" applyNumberFormat="1" applyFont="1" applyFill="1" applyBorder="1" applyAlignment="1">
      <alignment vertical="center" wrapText="1"/>
    </xf>
    <xf numFmtId="3" fontId="8" fillId="0" borderId="0" xfId="7" applyNumberFormat="1" applyFont="1" applyFill="1" applyBorder="1" applyAlignment="1">
      <alignment horizontal="left" vertical="center" wrapText="1"/>
    </xf>
    <xf numFmtId="3" fontId="8" fillId="0" borderId="7" xfId="7" applyNumberFormat="1" applyFont="1" applyFill="1" applyBorder="1" applyAlignment="1">
      <alignment vertical="center" wrapText="1"/>
    </xf>
    <xf numFmtId="3" fontId="8" fillId="0" borderId="7" xfId="7" applyNumberFormat="1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3" fontId="7" fillId="0" borderId="0" xfId="7" applyNumberFormat="1" applyFont="1" applyFill="1" applyBorder="1" applyAlignment="1">
      <alignment horizontal="right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3" fontId="7" fillId="5" borderId="0" xfId="0" applyNumberFormat="1" applyFont="1" applyFill="1" applyBorder="1" applyAlignment="1">
      <alignment vertical="center" wrapText="1"/>
    </xf>
    <xf numFmtId="1" fontId="7" fillId="6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1" fontId="7" fillId="6" borderId="0" xfId="0" applyNumberFormat="1" applyFont="1" applyFill="1" applyBorder="1" applyAlignment="1">
      <alignment horizontal="right" vertical="center" wrapText="1"/>
    </xf>
    <xf numFmtId="0" fontId="7" fillId="6" borderId="0" xfId="11" applyFont="1" applyFill="1" applyBorder="1" applyAlignment="1">
      <alignment horizontal="right" vertical="center" wrapText="1"/>
    </xf>
    <xf numFmtId="0" fontId="7" fillId="6" borderId="0" xfId="11" applyFont="1" applyFill="1" applyBorder="1" applyAlignment="1">
      <alignment horizontal="left" vertical="center" wrapText="1"/>
    </xf>
    <xf numFmtId="0" fontId="7" fillId="6" borderId="0" xfId="2" applyFont="1" applyFill="1" applyBorder="1" applyAlignment="1">
      <alignment horizontal="right" vertical="center" wrapText="1"/>
    </xf>
    <xf numFmtId="0" fontId="7" fillId="6" borderId="0" xfId="2" applyFont="1" applyFill="1" applyBorder="1" applyAlignment="1">
      <alignment horizontal="left" vertical="center" wrapText="1"/>
    </xf>
    <xf numFmtId="0" fontId="7" fillId="6" borderId="0" xfId="6" applyFont="1" applyFill="1" applyBorder="1" applyAlignment="1">
      <alignment horizontal="right" vertical="center" wrapText="1"/>
    </xf>
    <xf numFmtId="3" fontId="7" fillId="6" borderId="0" xfId="6" applyNumberFormat="1" applyFont="1" applyFill="1" applyBorder="1" applyAlignment="1">
      <alignment vertical="center" wrapText="1"/>
    </xf>
    <xf numFmtId="0" fontId="7" fillId="6" borderId="0" xfId="6" applyFont="1" applyFill="1" applyBorder="1" applyAlignment="1">
      <alignment horizontal="left" vertical="center" wrapText="1"/>
    </xf>
    <xf numFmtId="1" fontId="7" fillId="6" borderId="0" xfId="6" applyNumberFormat="1" applyFont="1" applyFill="1" applyBorder="1" applyAlignment="1">
      <alignment horizontal="right" vertical="center" wrapText="1"/>
    </xf>
    <xf numFmtId="1" fontId="7" fillId="6" borderId="0" xfId="6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vertical="center" wrapText="1"/>
    </xf>
    <xf numFmtId="3" fontId="7" fillId="6" borderId="0" xfId="8" applyNumberFormat="1" applyFont="1" applyFill="1" applyBorder="1" applyAlignment="1">
      <alignment vertical="center" wrapText="1"/>
    </xf>
    <xf numFmtId="3" fontId="7" fillId="6" borderId="0" xfId="6" applyNumberFormat="1" applyFont="1" applyFill="1" applyBorder="1" applyAlignment="1">
      <alignment horizontal="left" vertical="center" wrapText="1"/>
    </xf>
    <xf numFmtId="3" fontId="9" fillId="6" borderId="0" xfId="6" applyNumberFormat="1" applyFont="1" applyFill="1" applyBorder="1" applyAlignment="1">
      <alignment horizontal="left" vertical="center" wrapText="1"/>
    </xf>
    <xf numFmtId="1" fontId="7" fillId="6" borderId="0" xfId="7" applyNumberFormat="1" applyFont="1" applyFill="1" applyBorder="1" applyAlignment="1">
      <alignment horizontal="right" vertical="center" wrapText="1"/>
    </xf>
    <xf numFmtId="3" fontId="7" fillId="6" borderId="0" xfId="7" applyNumberFormat="1" applyFont="1" applyFill="1" applyBorder="1" applyAlignment="1">
      <alignment horizontal="left" vertical="center" wrapText="1"/>
    </xf>
    <xf numFmtId="0" fontId="7" fillId="6" borderId="0" xfId="7" applyFont="1" applyFill="1" applyBorder="1" applyAlignment="1">
      <alignment horizontal="right" vertical="center" wrapText="1"/>
    </xf>
    <xf numFmtId="1" fontId="7" fillId="6" borderId="3" xfId="7" applyNumberFormat="1" applyFont="1" applyFill="1" applyBorder="1" applyAlignment="1">
      <alignment horizontal="right" vertical="center" wrapText="1"/>
    </xf>
    <xf numFmtId="3" fontId="7" fillId="6" borderId="3" xfId="7" applyNumberFormat="1" applyFont="1" applyFill="1" applyBorder="1" applyAlignment="1">
      <alignment vertical="center" wrapText="1"/>
    </xf>
    <xf numFmtId="3" fontId="7" fillId="6" borderId="3" xfId="7" applyNumberFormat="1" applyFont="1" applyFill="1" applyBorder="1" applyAlignment="1">
      <alignment horizontal="left" vertical="center" wrapText="1"/>
    </xf>
    <xf numFmtId="3" fontId="8" fillId="6" borderId="0" xfId="7" applyNumberFormat="1" applyFont="1" applyFill="1" applyBorder="1" applyAlignment="1">
      <alignment vertical="center" wrapText="1"/>
    </xf>
    <xf numFmtId="3" fontId="8" fillId="6" borderId="0" xfId="8" applyNumberFormat="1" applyFont="1" applyFill="1" applyBorder="1" applyAlignment="1">
      <alignment vertical="center" wrapText="1"/>
    </xf>
    <xf numFmtId="3" fontId="8" fillId="6" borderId="0" xfId="7" applyNumberFormat="1" applyFont="1" applyFill="1" applyBorder="1" applyAlignment="1">
      <alignment horizontal="left" vertical="center" wrapText="1"/>
    </xf>
    <xf numFmtId="1" fontId="7" fillId="4" borderId="7" xfId="0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1" fontId="7" fillId="6" borderId="0" xfId="10" applyNumberFormat="1" applyFont="1" applyFill="1" applyBorder="1" applyAlignment="1">
      <alignment horizontal="right" vertical="center" wrapText="1"/>
    </xf>
    <xf numFmtId="3" fontId="7" fillId="6" borderId="0" xfId="10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left" vertical="center" wrapText="1"/>
    </xf>
    <xf numFmtId="0" fontId="7" fillId="6" borderId="0" xfId="10" applyFont="1" applyFill="1" applyBorder="1" applyAlignment="1">
      <alignment horizontal="right" vertical="center" wrapText="1"/>
    </xf>
    <xf numFmtId="0" fontId="7" fillId="6" borderId="0" xfId="10" applyFont="1" applyFill="1" applyBorder="1" applyAlignment="1">
      <alignment horizontal="left" vertical="center" wrapText="1"/>
    </xf>
    <xf numFmtId="0" fontId="7" fillId="6" borderId="0" xfId="9" applyFont="1" applyFill="1" applyBorder="1" applyAlignment="1">
      <alignment horizontal="right" vertical="center" wrapText="1"/>
    </xf>
    <xf numFmtId="3" fontId="7" fillId="6" borderId="0" xfId="9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horizontal="right" vertical="center" wrapText="1"/>
    </xf>
    <xf numFmtId="3" fontId="7" fillId="5" borderId="0" xfId="9" applyNumberFormat="1" applyFont="1" applyFill="1" applyBorder="1" applyAlignment="1">
      <alignment vertical="center" wrapText="1"/>
    </xf>
    <xf numFmtId="1" fontId="7" fillId="5" borderId="0" xfId="9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2" applyFont="1" applyFill="1" applyBorder="1" applyAlignment="1">
      <alignment horizontal="center" vertical="center" wrapText="1"/>
    </xf>
    <xf numFmtId="3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vertical="center" wrapText="1"/>
    </xf>
    <xf numFmtId="3" fontId="7" fillId="5" borderId="0" xfId="8" applyNumberFormat="1" applyFont="1" applyFill="1" applyBorder="1" applyAlignment="1">
      <alignment vertical="center" wrapText="1"/>
    </xf>
    <xf numFmtId="3" fontId="8" fillId="5" borderId="0" xfId="7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1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horizontal="left" vertical="center" wrapText="1"/>
    </xf>
    <xf numFmtId="0" fontId="7" fillId="5" borderId="0" xfId="7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horizontal="right" vertical="center"/>
    </xf>
    <xf numFmtId="3" fontId="7" fillId="6" borderId="0" xfId="7" applyNumberFormat="1" applyFont="1" applyFill="1" applyBorder="1" applyAlignment="1">
      <alignment vertical="center"/>
    </xf>
    <xf numFmtId="3" fontId="7" fillId="6" borderId="0" xfId="7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Alignment="1"/>
    <xf numFmtId="3" fontId="7" fillId="6" borderId="0" xfId="8" applyNumberFormat="1" applyFont="1" applyFill="1" applyBorder="1" applyAlignment="1">
      <alignment vertical="center"/>
    </xf>
    <xf numFmtId="3" fontId="7" fillId="0" borderId="7" xfId="7" applyNumberFormat="1" applyFont="1" applyFill="1" applyBorder="1" applyAlignment="1">
      <alignment horizontal="right" vertical="center"/>
    </xf>
    <xf numFmtId="3" fontId="7" fillId="0" borderId="7" xfId="7" applyNumberFormat="1" applyFont="1" applyFill="1" applyBorder="1" applyAlignment="1">
      <alignment vertical="center"/>
    </xf>
    <xf numFmtId="0" fontId="7" fillId="0" borderId="7" xfId="5" applyFont="1" applyFill="1" applyBorder="1" applyAlignment="1">
      <alignment horizontal="left" vertical="center"/>
    </xf>
    <xf numFmtId="1" fontId="7" fillId="4" borderId="7" xfId="0" applyNumberFormat="1" applyFont="1" applyFill="1" applyBorder="1" applyAlignment="1">
      <alignment horizontal="center" vertical="center" wrapText="1"/>
    </xf>
    <xf numFmtId="3" fontId="7" fillId="5" borderId="0" xfId="7" applyNumberFormat="1" applyFont="1" applyFill="1" applyBorder="1" applyAlignment="1">
      <alignment horizontal="right" vertical="center"/>
    </xf>
    <xf numFmtId="3" fontId="7" fillId="5" borderId="0" xfId="7" applyNumberFormat="1" applyFont="1" applyFill="1" applyBorder="1" applyAlignment="1">
      <alignment vertical="center"/>
    </xf>
    <xf numFmtId="3" fontId="7" fillId="5" borderId="0" xfId="7" applyNumberFormat="1" applyFont="1" applyFill="1" applyBorder="1" applyAlignment="1">
      <alignment horizontal="left" vertical="center"/>
    </xf>
    <xf numFmtId="3" fontId="7" fillId="5" borderId="0" xfId="8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right" vertical="center" wrapText="1"/>
    </xf>
    <xf numFmtId="1" fontId="7" fillId="0" borderId="9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1"/>
    </xf>
    <xf numFmtId="2" fontId="15" fillId="0" borderId="0" xfId="0" applyNumberFormat="1" applyFont="1" applyAlignment="1">
      <alignment horizontal="center" vertical="center" wrapText="1" readingOrder="1"/>
    </xf>
    <xf numFmtId="1" fontId="15" fillId="0" borderId="0" xfId="0" applyNumberFormat="1" applyFont="1" applyAlignment="1">
      <alignment horizontal="center" vertical="center" wrapText="1" readingOrder="1"/>
    </xf>
    <xf numFmtId="1" fontId="7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 wrapText="1"/>
    </xf>
    <xf numFmtId="1" fontId="0" fillId="0" borderId="0" xfId="0" applyNumberFormat="1" applyBorder="1"/>
    <xf numFmtId="3" fontId="7" fillId="0" borderId="0" xfId="0" applyNumberFormat="1" applyFont="1" applyFill="1" applyBorder="1" applyAlignment="1">
      <alignment horizontal="left"/>
    </xf>
    <xf numFmtId="3" fontId="7" fillId="6" borderId="0" xfId="0" applyNumberFormat="1" applyFont="1" applyFill="1" applyBorder="1" applyAlignment="1">
      <alignment wrapText="1" readingOrder="1"/>
    </xf>
    <xf numFmtId="0" fontId="7" fillId="5" borderId="2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3" fontId="7" fillId="6" borderId="3" xfId="0" applyNumberFormat="1" applyFont="1" applyFill="1" applyBorder="1" applyAlignment="1"/>
    <xf numFmtId="0" fontId="7" fillId="5" borderId="2" xfId="0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0" fontId="7" fillId="5" borderId="2" xfId="9" applyFont="1" applyFill="1" applyBorder="1" applyAlignment="1">
      <alignment vertical="center" wrapText="1"/>
    </xf>
    <xf numFmtId="164" fontId="7" fillId="4" borderId="2" xfId="1" applyFont="1" applyFill="1" applyBorder="1" applyAlignment="1">
      <alignment horizontal="right" vertical="center" wrapText="1"/>
    </xf>
    <xf numFmtId="1" fontId="7" fillId="4" borderId="2" xfId="9" applyNumberFormat="1" applyFont="1" applyFill="1" applyBorder="1" applyAlignment="1">
      <alignment horizontal="right" vertical="center" wrapText="1"/>
    </xf>
    <xf numFmtId="1" fontId="7" fillId="5" borderId="2" xfId="9" applyNumberFormat="1" applyFont="1" applyFill="1" applyBorder="1" applyAlignment="1">
      <alignment horizontal="left" vertical="center" wrapText="1"/>
    </xf>
    <xf numFmtId="1" fontId="7" fillId="6" borderId="3" xfId="9" applyNumberFormat="1" applyFont="1" applyFill="1" applyBorder="1" applyAlignment="1">
      <alignment horizontal="right" vertical="center" wrapText="1"/>
    </xf>
    <xf numFmtId="3" fontId="7" fillId="6" borderId="3" xfId="9" applyNumberFormat="1" applyFont="1" applyFill="1" applyBorder="1" applyAlignment="1">
      <alignment vertical="center" wrapText="1"/>
    </xf>
    <xf numFmtId="1" fontId="7" fillId="6" borderId="3" xfId="9" applyNumberFormat="1" applyFont="1" applyFill="1" applyBorder="1" applyAlignment="1">
      <alignment horizontal="left" vertical="center" wrapText="1"/>
    </xf>
    <xf numFmtId="0" fontId="7" fillId="5" borderId="2" xfId="10" applyFont="1" applyFill="1" applyBorder="1" applyAlignment="1">
      <alignment vertical="center" wrapText="1"/>
    </xf>
    <xf numFmtId="0" fontId="7" fillId="5" borderId="2" xfId="10" applyFont="1" applyFill="1" applyBorder="1" applyAlignment="1">
      <alignment horizontal="right" vertical="center" wrapText="1"/>
    </xf>
    <xf numFmtId="1" fontId="7" fillId="5" borderId="2" xfId="10" applyNumberFormat="1" applyFont="1" applyFill="1" applyBorder="1" applyAlignment="1">
      <alignment horizontal="left" vertical="center" wrapText="1"/>
    </xf>
    <xf numFmtId="0" fontId="7" fillId="6" borderId="3" xfId="10" applyFont="1" applyFill="1" applyBorder="1" applyAlignment="1">
      <alignment horizontal="right" vertical="center" wrapText="1"/>
    </xf>
    <xf numFmtId="3" fontId="7" fillId="6" borderId="3" xfId="10" applyNumberFormat="1" applyFont="1" applyFill="1" applyBorder="1" applyAlignment="1">
      <alignment vertical="center" wrapText="1"/>
    </xf>
    <xf numFmtId="0" fontId="7" fillId="6" borderId="3" xfId="10" applyFont="1" applyFill="1" applyBorder="1" applyAlignment="1">
      <alignment horizontal="left" vertical="center" wrapText="1"/>
    </xf>
    <xf numFmtId="0" fontId="7" fillId="4" borderId="2" xfId="4" applyFont="1" applyFill="1" applyBorder="1" applyAlignment="1">
      <alignment vertical="center" wrapText="1"/>
    </xf>
    <xf numFmtId="0" fontId="7" fillId="4" borderId="2" xfId="4" applyFont="1" applyFill="1" applyBorder="1" applyAlignment="1">
      <alignment horizontal="right" vertical="center" wrapText="1"/>
    </xf>
    <xf numFmtId="1" fontId="7" fillId="4" borderId="2" xfId="4" applyNumberFormat="1" applyFont="1" applyFill="1" applyBorder="1" applyAlignment="1">
      <alignment horizontal="right" vertical="center" wrapText="1"/>
    </xf>
    <xf numFmtId="1" fontId="7" fillId="3" borderId="2" xfId="4" applyNumberFormat="1" applyFont="1" applyFill="1" applyBorder="1" applyAlignment="1">
      <alignment horizontal="left" vertical="center" wrapText="1"/>
    </xf>
    <xf numFmtId="0" fontId="7" fillId="6" borderId="3" xfId="0" applyFont="1" applyFill="1" applyBorder="1"/>
    <xf numFmtId="3" fontId="7" fillId="0" borderId="0" xfId="4" applyNumberFormat="1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1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right" vertical="center" wrapText="1"/>
    </xf>
    <xf numFmtId="1" fontId="7" fillId="4" borderId="7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/>
    <xf numFmtId="1" fontId="7" fillId="0" borderId="7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1" fontId="7" fillId="6" borderId="0" xfId="0" applyNumberFormat="1" applyFont="1" applyFill="1" applyBorder="1" applyAlignment="1">
      <alignment vertical="center" wrapText="1"/>
    </xf>
    <xf numFmtId="1" fontId="7" fillId="4" borderId="2" xfId="11" applyNumberFormat="1" applyFont="1" applyFill="1" applyBorder="1" applyAlignment="1">
      <alignment horizontal="center" vertical="center" wrapText="1"/>
    </xf>
    <xf numFmtId="11" fontId="7" fillId="4" borderId="2" xfId="2" applyNumberFormat="1" applyFont="1" applyFill="1" applyBorder="1" applyAlignment="1">
      <alignment horizontal="center" vertical="center" wrapText="1"/>
    </xf>
    <xf numFmtId="0" fontId="7" fillId="4" borderId="2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right"/>
    </xf>
    <xf numFmtId="0" fontId="7" fillId="0" borderId="0" xfId="2" applyFont="1" applyFill="1" applyBorder="1" applyAlignment="1">
      <alignment horizontal="left" vertical="center" wrapText="1"/>
    </xf>
    <xf numFmtId="1" fontId="7" fillId="4" borderId="2" xfId="2" applyNumberFormat="1" applyFont="1" applyFill="1" applyBorder="1" applyAlignment="1">
      <alignment horizontal="right" vertical="center" wrapText="1"/>
    </xf>
    <xf numFmtId="11" fontId="7" fillId="4" borderId="2" xfId="2" applyNumberFormat="1" applyFont="1" applyFill="1" applyBorder="1" applyAlignment="1">
      <alignment horizontal="right" vertical="center" wrapText="1"/>
    </xf>
    <xf numFmtId="0" fontId="7" fillId="4" borderId="2" xfId="2" applyFont="1" applyFill="1" applyBorder="1" applyAlignment="1">
      <alignment horizontal="right" vertical="center" wrapText="1"/>
    </xf>
    <xf numFmtId="0" fontId="7" fillId="6" borderId="3" xfId="2" applyFont="1" applyFill="1" applyBorder="1" applyAlignment="1">
      <alignment horizontal="right" vertical="center" wrapText="1"/>
    </xf>
    <xf numFmtId="0" fontId="7" fillId="6" borderId="3" xfId="2" applyFont="1" applyFill="1" applyBorder="1" applyAlignment="1">
      <alignment horizontal="left" vertical="center" wrapText="1"/>
    </xf>
    <xf numFmtId="1" fontId="7" fillId="7" borderId="0" xfId="2" applyNumberFormat="1" applyFont="1" applyFill="1" applyBorder="1" applyAlignment="1">
      <alignment horizontal="right" vertical="center" wrapText="1"/>
    </xf>
    <xf numFmtId="1" fontId="7" fillId="7" borderId="0" xfId="2" applyNumberFormat="1" applyFont="1" applyFill="1" applyBorder="1" applyAlignment="1">
      <alignment horizontal="left" vertical="center" wrapText="1"/>
    </xf>
    <xf numFmtId="1" fontId="7" fillId="3" borderId="3" xfId="2" applyNumberFormat="1" applyFont="1" applyFill="1" applyBorder="1" applyAlignment="1">
      <alignment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left" vertical="center" wrapText="1"/>
    </xf>
    <xf numFmtId="3" fontId="7" fillId="0" borderId="0" xfId="11" applyNumberFormat="1" applyFont="1" applyFill="1" applyBorder="1" applyAlignment="1">
      <alignment horizontal="left" vertical="center" wrapText="1"/>
    </xf>
    <xf numFmtId="3" fontId="7" fillId="0" borderId="0" xfId="2" applyNumberFormat="1" applyFont="1" applyFill="1" applyBorder="1" applyAlignment="1">
      <alignment horizontal="left" vertical="center" wrapText="1"/>
    </xf>
    <xf numFmtId="1" fontId="7" fillId="3" borderId="2" xfId="6" applyNumberFormat="1" applyFont="1" applyFill="1" applyBorder="1" applyAlignment="1">
      <alignment horizontal="right" vertical="center" wrapText="1"/>
    </xf>
    <xf numFmtId="0" fontId="7" fillId="4" borderId="2" xfId="6" applyFont="1" applyFill="1" applyBorder="1" applyAlignment="1">
      <alignment horizontal="center" vertical="center" wrapText="1"/>
    </xf>
    <xf numFmtId="1" fontId="7" fillId="4" borderId="2" xfId="6" applyNumberFormat="1" applyFont="1" applyFill="1" applyBorder="1" applyAlignment="1">
      <alignment horizontal="center" vertical="center" wrapText="1"/>
    </xf>
    <xf numFmtId="1" fontId="7" fillId="4" borderId="2" xfId="6" applyNumberFormat="1" applyFont="1" applyFill="1" applyBorder="1" applyAlignment="1">
      <alignment horizontal="right" vertical="center" wrapText="1"/>
    </xf>
    <xf numFmtId="0" fontId="7" fillId="4" borderId="2" xfId="6" applyFont="1" applyFill="1" applyBorder="1" applyAlignment="1">
      <alignment vertical="center" wrapText="1"/>
    </xf>
    <xf numFmtId="1" fontId="7" fillId="0" borderId="3" xfId="6" applyNumberFormat="1" applyFont="1" applyFill="1" applyBorder="1" applyAlignment="1">
      <alignment horizontal="right" vertical="center" wrapText="1"/>
    </xf>
    <xf numFmtId="3" fontId="7" fillId="0" borderId="3" xfId="6" applyNumberFormat="1" applyFont="1" applyFill="1" applyBorder="1" applyAlignment="1">
      <alignment vertical="center" wrapText="1"/>
    </xf>
    <xf numFmtId="1" fontId="7" fillId="0" borderId="3" xfId="6" applyNumberFormat="1" applyFont="1" applyFill="1" applyBorder="1" applyAlignment="1">
      <alignment horizontal="left" vertical="center" wrapText="1"/>
    </xf>
    <xf numFmtId="0" fontId="7" fillId="3" borderId="2" xfId="3" applyFont="1" applyFill="1" applyBorder="1" applyAlignment="1">
      <alignment vertical="center" wrapText="1"/>
    </xf>
    <xf numFmtId="0" fontId="7" fillId="4" borderId="2" xfId="3" applyFont="1" applyFill="1" applyBorder="1" applyAlignment="1">
      <alignment horizontal="center" vertical="center" wrapText="1"/>
    </xf>
    <xf numFmtId="1" fontId="7" fillId="4" borderId="2" xfId="3" applyNumberFormat="1" applyFont="1" applyFill="1" applyBorder="1" applyAlignment="1">
      <alignment vertical="center" wrapText="1"/>
    </xf>
    <xf numFmtId="0" fontId="7" fillId="4" borderId="2" xfId="3" applyFont="1" applyFill="1" applyBorder="1" applyAlignment="1">
      <alignment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horizontal="left" vertical="center" wrapText="1"/>
    </xf>
    <xf numFmtId="3" fontId="7" fillId="0" borderId="3" xfId="7" applyNumberFormat="1" applyFont="1" applyFill="1" applyBorder="1" applyAlignment="1">
      <alignment vertical="center" wrapText="1"/>
    </xf>
    <xf numFmtId="3" fontId="7" fillId="0" borderId="3" xfId="8" applyNumberFormat="1" applyFont="1" applyFill="1" applyBorder="1" applyAlignment="1">
      <alignment vertical="center" wrapText="1"/>
    </xf>
    <xf numFmtId="0" fontId="0" fillId="0" borderId="0" xfId="0" applyNumberFormat="1" applyBorder="1"/>
    <xf numFmtId="0" fontId="7" fillId="5" borderId="2" xfId="5" applyNumberFormat="1" applyFont="1" applyFill="1" applyBorder="1" applyAlignment="1">
      <alignment horizontal="right" vertical="center" wrapText="1"/>
    </xf>
    <xf numFmtId="0" fontId="7" fillId="4" borderId="2" xfId="5" applyNumberFormat="1" applyFont="1" applyFill="1" applyBorder="1" applyAlignment="1">
      <alignment horizontal="right" vertical="center" wrapText="1"/>
    </xf>
    <xf numFmtId="0" fontId="7" fillId="6" borderId="2" xfId="8" applyFont="1" applyFill="1" applyBorder="1" applyAlignment="1">
      <alignment vertical="center" wrapText="1"/>
    </xf>
    <xf numFmtId="0" fontId="7" fillId="7" borderId="2" xfId="8" applyFont="1" applyFill="1" applyBorder="1" applyAlignment="1">
      <alignment horizontal="center" vertical="center" wrapText="1"/>
    </xf>
    <xf numFmtId="0" fontId="7" fillId="7" borderId="2" xfId="8" applyFont="1" applyFill="1" applyBorder="1" applyAlignment="1">
      <alignment horizontal="left" vertical="center" wrapText="1"/>
    </xf>
    <xf numFmtId="0" fontId="7" fillId="0" borderId="3" xfId="5" applyFont="1" applyFill="1" applyBorder="1" applyAlignment="1">
      <alignment horizontal="right" vertical="center" wrapText="1"/>
    </xf>
    <xf numFmtId="0" fontId="7" fillId="0" borderId="3" xfId="5" applyFont="1" applyFill="1" applyBorder="1" applyAlignment="1">
      <alignment horizontal="left" vertical="center" wrapText="1"/>
    </xf>
    <xf numFmtId="3" fontId="7" fillId="6" borderId="3" xfId="7" applyNumberFormat="1" applyFont="1" applyFill="1" applyBorder="1" applyAlignment="1">
      <alignment horizontal="right" vertical="center"/>
    </xf>
    <xf numFmtId="3" fontId="7" fillId="6" borderId="3" xfId="7" applyNumberFormat="1" applyFont="1" applyFill="1" applyBorder="1" applyAlignment="1">
      <alignment vertical="center"/>
    </xf>
    <xf numFmtId="3" fontId="7" fillId="6" borderId="3" xfId="8" applyNumberFormat="1" applyFont="1" applyFill="1" applyBorder="1" applyAlignment="1">
      <alignment vertical="center"/>
    </xf>
    <xf numFmtId="3" fontId="7" fillId="6" borderId="3" xfId="7" applyNumberFormat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vertical="center" wrapText="1"/>
    </xf>
    <xf numFmtId="1" fontId="7" fillId="0" borderId="3" xfId="7" applyNumberFormat="1" applyFont="1" applyFill="1" applyBorder="1" applyAlignment="1">
      <alignment horizontal="right" vertical="center" wrapText="1"/>
    </xf>
    <xf numFmtId="3" fontId="8" fillId="0" borderId="3" xfId="7" applyNumberFormat="1" applyFont="1" applyFill="1" applyBorder="1" applyAlignment="1">
      <alignment vertical="center" wrapText="1"/>
    </xf>
    <xf numFmtId="3" fontId="8" fillId="0" borderId="3" xfId="8" applyNumberFormat="1" applyFont="1" applyFill="1" applyBorder="1" applyAlignment="1">
      <alignment vertical="center" wrapText="1"/>
    </xf>
    <xf numFmtId="3" fontId="8" fillId="0" borderId="3" xfId="7" applyNumberFormat="1" applyFont="1" applyFill="1" applyBorder="1" applyAlignment="1">
      <alignment horizontal="left" vertical="center" wrapText="1"/>
    </xf>
    <xf numFmtId="3" fontId="7" fillId="4" borderId="7" xfId="7" applyNumberFormat="1" applyFont="1" applyFill="1" applyBorder="1" applyAlignment="1">
      <alignment horizontal="left" vertical="center" wrapText="1"/>
    </xf>
    <xf numFmtId="3" fontId="7" fillId="4" borderId="7" xfId="7" applyNumberFormat="1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7" borderId="0" xfId="0" applyFont="1" applyFill="1" applyBorder="1" applyAlignment="1">
      <alignment horizontal="center" vertical="center" wrapText="1"/>
    </xf>
    <xf numFmtId="0" fontId="4" fillId="0" borderId="0" xfId="0" applyFont="1" applyAlignment="1"/>
    <xf numFmtId="3" fontId="7" fillId="6" borderId="3" xfId="0" applyNumberFormat="1" applyFont="1" applyFill="1" applyBorder="1" applyAlignment="1">
      <alignment horizontal="left" vertical="center" wrapText="1"/>
    </xf>
    <xf numFmtId="168" fontId="7" fillId="7" borderId="0" xfId="1" applyNumberFormat="1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left" vertical="top" wrapText="1"/>
    </xf>
    <xf numFmtId="3" fontId="7" fillId="6" borderId="0" xfId="4" applyNumberFormat="1" applyFont="1" applyFill="1" applyBorder="1" applyAlignment="1">
      <alignment vertical="center" wrapText="1"/>
    </xf>
    <xf numFmtId="3" fontId="7" fillId="6" borderId="0" xfId="11" applyNumberFormat="1" applyFont="1" applyFill="1" applyBorder="1" applyAlignment="1">
      <alignment horizontal="left" vertical="center" wrapText="1"/>
    </xf>
    <xf numFmtId="3" fontId="7" fillId="0" borderId="7" xfId="4" applyNumberFormat="1" applyFont="1" applyFill="1" applyBorder="1" applyAlignment="1">
      <alignment horizontal="left" vertical="center" wrapText="1"/>
    </xf>
    <xf numFmtId="3" fontId="7" fillId="0" borderId="7" xfId="0" applyNumberFormat="1" applyFont="1" applyFill="1" applyBorder="1" applyAlignment="1">
      <alignment horizontal="right"/>
    </xf>
    <xf numFmtId="0" fontId="7" fillId="6" borderId="0" xfId="0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horizontal="right" vertical="center" wrapText="1"/>
    </xf>
    <xf numFmtId="3" fontId="7" fillId="7" borderId="7" xfId="0" applyNumberFormat="1" applyFont="1" applyFill="1" applyBorder="1" applyAlignment="1">
      <alignment horizontal="left" vertical="center" wrapText="1"/>
    </xf>
    <xf numFmtId="1" fontId="7" fillId="7" borderId="0" xfId="1" applyNumberFormat="1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left" vertical="top" wrapText="1"/>
    </xf>
    <xf numFmtId="3" fontId="7" fillId="0" borderId="7" xfId="4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1" fontId="7" fillId="2" borderId="3" xfId="3" applyNumberFormat="1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7" fillId="5" borderId="0" xfId="3" applyFont="1" applyFill="1" applyBorder="1" applyAlignment="1">
      <alignment horizontal="center" vertical="center" wrapText="1"/>
    </xf>
    <xf numFmtId="1" fontId="7" fillId="4" borderId="2" xfId="3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3" fontId="7" fillId="0" borderId="4" xfId="6" applyNumberFormat="1" applyFont="1" applyFill="1" applyBorder="1" applyAlignment="1">
      <alignment vertical="center" wrapText="1"/>
    </xf>
    <xf numFmtId="3" fontId="0" fillId="0" borderId="0" xfId="0" applyNumberFormat="1" applyFill="1" applyBorder="1"/>
    <xf numFmtId="165" fontId="7" fillId="2" borderId="0" xfId="0" applyNumberFormat="1" applyFont="1" applyFill="1" applyBorder="1" applyAlignment="1">
      <alignment vertical="center" wrapText="1"/>
    </xf>
    <xf numFmtId="3" fontId="7" fillId="6" borderId="11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/>
    </xf>
    <xf numFmtId="3" fontId="9" fillId="0" borderId="12" xfId="0" applyNumberFormat="1" applyFont="1" applyFill="1" applyBorder="1" applyAlignment="1">
      <alignment horizontal="left" vertical="center" wrapText="1"/>
    </xf>
    <xf numFmtId="0" fontId="9" fillId="6" borderId="14" xfId="0" applyFont="1" applyFill="1" applyBorder="1" applyAlignment="1">
      <alignment horizontal="left"/>
    </xf>
    <xf numFmtId="3" fontId="7" fillId="0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horizontal="left" vertical="center" wrapText="1"/>
    </xf>
    <xf numFmtId="3" fontId="7" fillId="0" borderId="16" xfId="0" applyNumberFormat="1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8" fillId="0" borderId="22" xfId="0" applyFont="1" applyFill="1" applyBorder="1" applyAlignment="1">
      <alignment horizontal="right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right" vertical="center" wrapText="1"/>
    </xf>
    <xf numFmtId="3" fontId="7" fillId="0" borderId="13" xfId="0" applyNumberFormat="1" applyFont="1" applyFill="1" applyBorder="1" applyAlignment="1">
      <alignment horizontal="left" vertical="center" wrapText="1"/>
    </xf>
    <xf numFmtId="3" fontId="7" fillId="6" borderId="12" xfId="0" applyNumberFormat="1" applyFont="1" applyFill="1" applyBorder="1" applyAlignment="1">
      <alignment horizontal="left"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3" fontId="7" fillId="6" borderId="14" xfId="0" applyNumberFormat="1" applyFont="1" applyFill="1" applyBorder="1" applyAlignment="1">
      <alignment horizontal="left" vertical="center" wrapText="1"/>
    </xf>
    <xf numFmtId="3" fontId="7" fillId="0" borderId="16" xfId="0" applyNumberFormat="1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/>
      <protection locked="0"/>
    </xf>
    <xf numFmtId="3" fontId="7" fillId="0" borderId="7" xfId="11" applyNumberFormat="1" applyFont="1" applyFill="1" applyBorder="1" applyAlignment="1">
      <alignment horizontal="left" vertical="center" wrapText="1"/>
    </xf>
    <xf numFmtId="3" fontId="9" fillId="0" borderId="0" xfId="0" applyNumberFormat="1" applyFont="1" applyAlignment="1"/>
    <xf numFmtId="0" fontId="7" fillId="3" borderId="0" xfId="0" applyFont="1" applyFill="1" applyBorder="1" applyAlignment="1">
      <alignment horizontal="center" vertical="center" readingOrder="1"/>
    </xf>
    <xf numFmtId="0" fontId="9" fillId="0" borderId="0" xfId="0" applyFont="1" applyAlignment="1">
      <alignment horizontal="left" readingOrder="1"/>
    </xf>
    <xf numFmtId="0" fontId="7" fillId="2" borderId="3" xfId="0" applyFont="1" applyFill="1" applyBorder="1" applyAlignment="1">
      <alignment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left" vertical="center" wrapText="1" readingOrder="1"/>
    </xf>
    <xf numFmtId="0" fontId="7" fillId="6" borderId="1" xfId="0" applyFont="1" applyFill="1" applyBorder="1" applyAlignment="1">
      <alignment vertical="center" wrapText="1" readingOrder="1"/>
    </xf>
    <xf numFmtId="0" fontId="7" fillId="7" borderId="0" xfId="0" applyFont="1" applyFill="1" applyBorder="1" applyAlignment="1">
      <alignment horizontal="right" vertical="center" wrapText="1" readingOrder="1"/>
    </xf>
    <xf numFmtId="0" fontId="7" fillId="2" borderId="0" xfId="0" applyFont="1" applyFill="1" applyBorder="1" applyAlignment="1">
      <alignment vertical="center" wrapText="1" readingOrder="1"/>
    </xf>
    <xf numFmtId="0" fontId="7" fillId="3" borderId="0" xfId="0" applyFont="1" applyFill="1" applyBorder="1" applyAlignment="1">
      <alignment horizontal="right" vertical="center" wrapText="1" readingOrder="1"/>
    </xf>
    <xf numFmtId="0" fontId="11" fillId="3" borderId="0" xfId="0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horizontal="right" vertical="center" wrapText="1" readingOrder="1"/>
    </xf>
    <xf numFmtId="0" fontId="7" fillId="3" borderId="0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right" vertical="center" wrapText="1" readingOrder="1"/>
    </xf>
    <xf numFmtId="0" fontId="7" fillId="3" borderId="2" xfId="0" applyFont="1" applyFill="1" applyBorder="1" applyAlignment="1">
      <alignment horizontal="right" vertical="center" wrapText="1" readingOrder="1"/>
    </xf>
    <xf numFmtId="0" fontId="7" fillId="2" borderId="2" xfId="0" applyFont="1" applyFill="1" applyBorder="1" applyAlignment="1">
      <alignment vertical="center" wrapText="1" readingOrder="1"/>
    </xf>
    <xf numFmtId="1" fontId="7" fillId="0" borderId="0" xfId="0" applyNumberFormat="1" applyFont="1" applyFill="1" applyBorder="1" applyAlignment="1">
      <alignment horizontal="right" vertical="center" wrapText="1" readingOrder="1"/>
    </xf>
    <xf numFmtId="3" fontId="7" fillId="0" borderId="0" xfId="0" applyNumberFormat="1" applyFont="1" applyFill="1" applyBorder="1" applyAlignment="1">
      <alignment vertical="center" wrapText="1" readingOrder="1"/>
    </xf>
    <xf numFmtId="3" fontId="7" fillId="0" borderId="0" xfId="0" applyNumberFormat="1" applyFont="1" applyFill="1" applyBorder="1" applyAlignment="1">
      <alignment readingOrder="1"/>
    </xf>
    <xf numFmtId="1" fontId="7" fillId="0" borderId="0" xfId="0" applyNumberFormat="1" applyFont="1" applyFill="1" applyBorder="1" applyAlignment="1">
      <alignment horizontal="left" vertical="center" wrapText="1" readingOrder="1"/>
    </xf>
    <xf numFmtId="1" fontId="7" fillId="6" borderId="0" xfId="0" applyNumberFormat="1" applyFont="1" applyFill="1" applyBorder="1" applyAlignment="1">
      <alignment horizontal="right" vertical="center" wrapText="1" readingOrder="1"/>
    </xf>
    <xf numFmtId="3" fontId="7" fillId="6" borderId="0" xfId="0" applyNumberFormat="1" applyFont="1" applyFill="1" applyBorder="1" applyAlignment="1">
      <alignment vertical="center" wrapText="1" readingOrder="1"/>
    </xf>
    <xf numFmtId="3" fontId="7" fillId="6" borderId="0" xfId="0" applyNumberFormat="1" applyFont="1" applyFill="1" applyBorder="1" applyAlignment="1">
      <alignment readingOrder="1"/>
    </xf>
    <xf numFmtId="1" fontId="7" fillId="6" borderId="0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left" vertical="center" wrapText="1" readingOrder="1"/>
    </xf>
    <xf numFmtId="0" fontId="7" fillId="6" borderId="0" xfId="0" applyFont="1" applyFill="1" applyBorder="1" applyAlignment="1">
      <alignment horizontal="right" vertical="center" wrapText="1" readingOrder="1"/>
    </xf>
    <xf numFmtId="1" fontId="9" fillId="0" borderId="0" xfId="0" applyNumberFormat="1" applyFont="1" applyFill="1" applyBorder="1" applyAlignment="1">
      <alignment horizontal="left" vertical="center" wrapText="1" readingOrder="1"/>
    </xf>
    <xf numFmtId="0" fontId="8" fillId="5" borderId="6" xfId="0" applyFont="1" applyFill="1" applyBorder="1" applyAlignment="1">
      <alignment vertical="center" wrapText="1" readingOrder="1"/>
    </xf>
    <xf numFmtId="3" fontId="7" fillId="4" borderId="6" xfId="0" applyNumberFormat="1" applyFont="1" applyFill="1" applyBorder="1" applyAlignment="1">
      <alignment vertical="center" wrapText="1" readingOrder="1"/>
    </xf>
    <xf numFmtId="0" fontId="8" fillId="4" borderId="6" xfId="0" applyFont="1" applyFill="1" applyBorder="1" applyAlignment="1">
      <alignment horizontal="left" vertical="center" wrapText="1" readingOrder="1"/>
    </xf>
    <xf numFmtId="0" fontId="0" fillId="0" borderId="0" xfId="0" applyAlignment="1">
      <alignment readingOrder="1"/>
    </xf>
    <xf numFmtId="0" fontId="7" fillId="5" borderId="0" xfId="0" applyFont="1" applyFill="1" applyBorder="1" applyAlignment="1">
      <alignment horizontal="right" vertical="center" wrapText="1" readingOrder="1"/>
    </xf>
    <xf numFmtId="0" fontId="7" fillId="4" borderId="0" xfId="0" applyFont="1" applyFill="1" applyBorder="1" applyAlignment="1">
      <alignment vertical="center" wrapText="1" readingOrder="1"/>
    </xf>
    <xf numFmtId="0" fontId="5" fillId="0" borderId="0" xfId="0" applyFont="1" applyAlignment="1">
      <alignment horizontal="left" readingOrder="1"/>
    </xf>
    <xf numFmtId="0" fontId="7" fillId="4" borderId="0" xfId="0" applyFont="1" applyFill="1" applyBorder="1" applyAlignment="1">
      <alignment horizontal="left" vertical="center" wrapText="1" readingOrder="1"/>
    </xf>
    <xf numFmtId="3" fontId="7" fillId="4" borderId="0" xfId="0" applyNumberFormat="1" applyFont="1" applyFill="1" applyBorder="1" applyAlignment="1">
      <alignment vertical="center" wrapText="1" readingOrder="1"/>
    </xf>
    <xf numFmtId="1" fontId="0" fillId="0" borderId="0" xfId="0" applyNumberFormat="1" applyAlignment="1">
      <alignment readingOrder="1"/>
    </xf>
    <xf numFmtId="0" fontId="7" fillId="0" borderId="0" xfId="0" applyFont="1" applyAlignment="1">
      <alignment horizontal="right" readingOrder="1"/>
    </xf>
    <xf numFmtId="3" fontId="7" fillId="4" borderId="0" xfId="7" applyNumberFormat="1" applyFont="1" applyFill="1" applyBorder="1" applyAlignment="1">
      <alignment vertical="center" wrapText="1" readingOrder="1"/>
    </xf>
    <xf numFmtId="0" fontId="7" fillId="4" borderId="0" xfId="5" applyFont="1" applyFill="1" applyBorder="1" applyAlignment="1">
      <alignment horizontal="left" vertical="center" wrapText="1" readingOrder="1"/>
    </xf>
    <xf numFmtId="0" fontId="0" fillId="0" borderId="0" xfId="0" applyBorder="1" applyAlignment="1">
      <alignment readingOrder="1"/>
    </xf>
    <xf numFmtId="0" fontId="0" fillId="5" borderId="0" xfId="0" applyFill="1" applyAlignment="1">
      <alignment readingOrder="1"/>
    </xf>
    <xf numFmtId="3" fontId="7" fillId="4" borderId="0" xfId="6" applyNumberFormat="1" applyFont="1" applyFill="1" applyBorder="1" applyAlignment="1">
      <alignment vertical="center" wrapText="1" readingOrder="1"/>
    </xf>
    <xf numFmtId="1" fontId="7" fillId="4" borderId="0" xfId="6" applyNumberFormat="1" applyFont="1" applyFill="1" applyBorder="1" applyAlignment="1">
      <alignment horizontal="left" vertical="center" wrapText="1" readingOrder="1"/>
    </xf>
    <xf numFmtId="0" fontId="0" fillId="2" borderId="0" xfId="0" applyFill="1" applyAlignment="1">
      <alignment readingOrder="1"/>
    </xf>
    <xf numFmtId="0" fontId="7" fillId="4" borderId="0" xfId="2" applyFont="1" applyFill="1" applyBorder="1" applyAlignment="1">
      <alignment horizontal="left" vertical="center" wrapText="1" readingOrder="1"/>
    </xf>
    <xf numFmtId="0" fontId="7" fillId="5" borderId="1" xfId="0" applyFont="1" applyFill="1" applyBorder="1" applyAlignment="1">
      <alignment vertical="center" readingOrder="1"/>
    </xf>
    <xf numFmtId="3" fontId="7" fillId="4" borderId="0" xfId="11" applyNumberFormat="1" applyFont="1" applyFill="1" applyBorder="1" applyAlignment="1">
      <alignment vertical="center" wrapText="1" readingOrder="1"/>
    </xf>
    <xf numFmtId="0" fontId="7" fillId="5" borderId="0" xfId="0" applyFont="1" applyFill="1" applyBorder="1" applyAlignment="1">
      <alignment vertical="center" wrapText="1" readingOrder="1"/>
    </xf>
    <xf numFmtId="1" fontId="7" fillId="4" borderId="0" xfId="0" applyNumberFormat="1" applyFont="1" applyFill="1" applyBorder="1" applyAlignment="1">
      <alignment horizontal="left" vertical="center" wrapText="1" readingOrder="1"/>
    </xf>
    <xf numFmtId="3" fontId="0" fillId="0" borderId="0" xfId="0" applyNumberFormat="1" applyAlignment="1">
      <alignment readingOrder="1"/>
    </xf>
    <xf numFmtId="0" fontId="5" fillId="5" borderId="0" xfId="0" applyFont="1" applyFill="1" applyBorder="1" applyAlignment="1">
      <alignment vertical="center" wrapText="1" readingOrder="1"/>
    </xf>
    <xf numFmtId="0" fontId="0" fillId="0" borderId="0" xfId="0" applyFill="1" applyAlignment="1">
      <alignment readingOrder="1"/>
    </xf>
    <xf numFmtId="168" fontId="0" fillId="0" borderId="0" xfId="1" applyNumberFormat="1" applyFont="1" applyAlignment="1">
      <alignment readingOrder="1"/>
    </xf>
    <xf numFmtId="168" fontId="0" fillId="0" borderId="0" xfId="0" applyNumberFormat="1" applyAlignment="1">
      <alignment readingOrder="1"/>
    </xf>
    <xf numFmtId="169" fontId="0" fillId="0" borderId="0" xfId="0" applyNumberFormat="1" applyAlignment="1">
      <alignment readingOrder="1"/>
    </xf>
    <xf numFmtId="0" fontId="7" fillId="0" borderId="0" xfId="0" applyFont="1" applyAlignment="1">
      <alignment horizontal="left" readingOrder="1"/>
    </xf>
    <xf numFmtId="0" fontId="7" fillId="5" borderId="0" xfId="0" applyFont="1" applyFill="1" applyBorder="1" applyAlignment="1">
      <alignment horizontal="left" vertical="center" wrapText="1" readingOrder="1"/>
    </xf>
    <xf numFmtId="0" fontId="1" fillId="0" borderId="0" xfId="0" applyFont="1" applyAlignment="1">
      <alignment readingOrder="1"/>
    </xf>
    <xf numFmtId="0" fontId="0" fillId="0" borderId="0" xfId="0" applyAlignment="1">
      <alignment horizontal="center" readingOrder="1"/>
    </xf>
    <xf numFmtId="1" fontId="1" fillId="0" borderId="0" xfId="0" applyNumberFormat="1" applyFont="1" applyAlignment="1">
      <alignment readingOrder="1"/>
    </xf>
    <xf numFmtId="0" fontId="0" fillId="0" borderId="0" xfId="0" applyAlignment="1">
      <alignment horizontal="left" readingOrder="1"/>
    </xf>
    <xf numFmtId="0" fontId="9" fillId="0" borderId="0" xfId="0" applyFont="1" applyAlignment="1">
      <alignment readingOrder="1"/>
    </xf>
    <xf numFmtId="0" fontId="7" fillId="0" borderId="0" xfId="0" applyFont="1" applyAlignment="1">
      <alignment readingOrder="1"/>
    </xf>
    <xf numFmtId="0" fontId="7" fillId="5" borderId="0" xfId="0" applyFont="1" applyFill="1" applyAlignment="1">
      <alignment readingOrder="1"/>
    </xf>
    <xf numFmtId="3" fontId="7" fillId="6" borderId="0" xfId="0" applyNumberFormat="1" applyFont="1" applyFill="1" applyBorder="1" applyAlignment="1" applyProtection="1">
      <alignment horizontal="right" vertical="center" readingOrder="1"/>
      <protection locked="0"/>
    </xf>
    <xf numFmtId="0" fontId="7" fillId="6" borderId="0" xfId="0" applyFont="1" applyFill="1" applyBorder="1" applyAlignment="1">
      <alignment vertical="center" readingOrder="1"/>
    </xf>
    <xf numFmtId="0" fontId="7" fillId="5" borderId="0" xfId="0" applyFont="1" applyFill="1" applyBorder="1" applyAlignment="1">
      <alignment vertical="center" readingOrder="1"/>
    </xf>
    <xf numFmtId="0" fontId="10" fillId="0" borderId="0" xfId="0" applyFont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readingOrder="1"/>
    </xf>
    <xf numFmtId="3" fontId="7" fillId="6" borderId="3" xfId="0" applyNumberFormat="1" applyFont="1" applyFill="1" applyBorder="1" applyAlignment="1" applyProtection="1">
      <alignment horizontal="right" vertical="center" readingOrder="1"/>
      <protection locked="0"/>
    </xf>
    <xf numFmtId="0" fontId="7" fillId="6" borderId="0" xfId="0" applyFont="1" applyFill="1" applyBorder="1" applyAlignment="1" applyProtection="1">
      <alignment horizontal="right" readingOrder="1"/>
      <protection locked="0"/>
    </xf>
    <xf numFmtId="0" fontId="7" fillId="0" borderId="0" xfId="0" applyFont="1" applyFill="1" applyBorder="1" applyAlignment="1" applyProtection="1">
      <alignment horizontal="right" readingOrder="1"/>
      <protection locked="0"/>
    </xf>
    <xf numFmtId="3" fontId="7" fillId="0" borderId="0" xfId="0" applyNumberFormat="1" applyFont="1" applyFill="1" applyBorder="1" applyAlignment="1" applyProtection="1">
      <alignment horizontal="right" vertical="center" readingOrder="1"/>
      <protection locked="0"/>
    </xf>
    <xf numFmtId="3" fontId="7" fillId="6" borderId="0" xfId="0" applyNumberFormat="1" applyFont="1" applyFill="1" applyAlignment="1">
      <alignment horizontal="right" readingOrder="1"/>
    </xf>
    <xf numFmtId="1" fontId="7" fillId="0" borderId="0" xfId="0" applyNumberFormat="1" applyFont="1" applyFill="1" applyBorder="1" applyAlignment="1" applyProtection="1">
      <alignment horizontal="right" vertical="center" readingOrder="1"/>
      <protection locked="0"/>
    </xf>
    <xf numFmtId="0" fontId="7" fillId="6" borderId="0" xfId="0" applyFont="1" applyFill="1" applyAlignment="1">
      <alignment readingOrder="1"/>
    </xf>
    <xf numFmtId="0" fontId="7" fillId="0" borderId="0" xfId="0" applyFont="1" applyFill="1" applyAlignment="1">
      <alignment readingOrder="1"/>
    </xf>
    <xf numFmtId="3" fontId="7" fillId="0" borderId="0" xfId="0" applyNumberFormat="1" applyFont="1" applyFill="1" applyAlignment="1">
      <alignment horizontal="right" readingOrder="1"/>
    </xf>
    <xf numFmtId="0" fontId="7" fillId="0" borderId="0" xfId="0" applyFont="1" applyFill="1" applyAlignment="1">
      <alignment horizontal="right" readingOrder="1"/>
    </xf>
    <xf numFmtId="1" fontId="7" fillId="6" borderId="0" xfId="0" applyNumberFormat="1" applyFont="1" applyFill="1" applyAlignment="1">
      <alignment horizontal="right" readingOrder="1"/>
    </xf>
    <xf numFmtId="3" fontId="7" fillId="0" borderId="0" xfId="0" applyNumberFormat="1" applyFont="1" applyAlignment="1">
      <alignment horizontal="right" readingOrder="1"/>
    </xf>
    <xf numFmtId="3" fontId="7" fillId="6" borderId="0" xfId="0" applyNumberFormat="1" applyFont="1" applyFill="1" applyBorder="1" applyAlignment="1">
      <alignment horizontal="left" vertical="center" wrapText="1" readingOrder="1"/>
    </xf>
    <xf numFmtId="0" fontId="7" fillId="2" borderId="0" xfId="0" applyFont="1" applyFill="1" applyBorder="1" applyAlignment="1">
      <alignment horizontal="left" vertical="center" wrapText="1" readingOrder="1"/>
    </xf>
    <xf numFmtId="0" fontId="7" fillId="2" borderId="0" xfId="0" applyFont="1" applyFill="1" applyBorder="1" applyAlignment="1">
      <alignment horizontal="center" vertical="center" wrapText="1" readingOrder="1"/>
    </xf>
    <xf numFmtId="0" fontId="7" fillId="6" borderId="0" xfId="0" applyFont="1" applyFill="1" applyBorder="1" applyAlignment="1">
      <alignment horizontal="center" vertical="center" wrapText="1" readingOrder="1"/>
    </xf>
    <xf numFmtId="1" fontId="0" fillId="0" borderId="0" xfId="0" applyNumberFormat="1" applyFill="1" applyAlignment="1">
      <alignment readingOrder="1"/>
    </xf>
    <xf numFmtId="3" fontId="7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Font="1" applyAlignment="1">
      <alignment readingOrder="1"/>
    </xf>
    <xf numFmtId="0" fontId="7" fillId="2" borderId="0" xfId="0" applyNumberFormat="1" applyFont="1" applyFill="1" applyBorder="1" applyAlignment="1">
      <alignment horizontal="right" vertical="center" wrapText="1" readingOrder="1"/>
    </xf>
    <xf numFmtId="0" fontId="7" fillId="2" borderId="0" xfId="0" applyFont="1" applyFill="1" applyAlignment="1">
      <alignment readingOrder="1"/>
    </xf>
    <xf numFmtId="0" fontId="7" fillId="6" borderId="0" xfId="0" applyFont="1" applyFill="1" applyBorder="1" applyAlignment="1">
      <alignment vertical="center" wrapText="1" readingOrder="1"/>
    </xf>
    <xf numFmtId="3" fontId="7" fillId="0" borderId="0" xfId="0" applyNumberFormat="1" applyFont="1" applyFill="1" applyBorder="1" applyAlignment="1">
      <alignment horizontal="right" readingOrder="1"/>
    </xf>
    <xf numFmtId="1" fontId="0" fillId="0" borderId="0" xfId="0" applyNumberFormat="1" applyFill="1" applyBorder="1" applyAlignment="1">
      <alignment readingOrder="1"/>
    </xf>
    <xf numFmtId="0" fontId="0" fillId="0" borderId="0" xfId="0" applyFill="1" applyBorder="1" applyAlignment="1">
      <alignment readingOrder="1"/>
    </xf>
    <xf numFmtId="3" fontId="7" fillId="6" borderId="0" xfId="0" applyNumberFormat="1" applyFont="1" applyFill="1" applyAlignment="1">
      <alignment readingOrder="1"/>
    </xf>
    <xf numFmtId="3" fontId="7" fillId="0" borderId="0" xfId="0" applyNumberFormat="1" applyFont="1" applyFill="1" applyAlignment="1">
      <alignment readingOrder="1"/>
    </xf>
    <xf numFmtId="0" fontId="8" fillId="0" borderId="0" xfId="0" applyFont="1" applyFill="1" applyBorder="1" applyAlignment="1">
      <alignment horizontal="right" vertical="center" wrapText="1" readingOrder="1"/>
    </xf>
    <xf numFmtId="3" fontId="8" fillId="0" borderId="0" xfId="0" applyNumberFormat="1" applyFont="1" applyFill="1" applyAlignment="1">
      <alignment horizontal="right" readingOrder="1"/>
    </xf>
    <xf numFmtId="3" fontId="8" fillId="0" borderId="0" xfId="0" applyNumberFormat="1" applyFont="1" applyFill="1" applyAlignment="1">
      <alignment readingOrder="1"/>
    </xf>
    <xf numFmtId="1" fontId="1" fillId="0" borderId="0" xfId="0" applyNumberFormat="1" applyFont="1" applyFill="1" applyAlignment="1">
      <alignment readingOrder="1"/>
    </xf>
    <xf numFmtId="0" fontId="1" fillId="0" borderId="0" xfId="0" applyFont="1" applyFill="1" applyAlignment="1">
      <alignment readingOrder="1"/>
    </xf>
    <xf numFmtId="0" fontId="7" fillId="0" borderId="7" xfId="0" applyFont="1" applyFill="1" applyBorder="1" applyAlignment="1">
      <alignment horizontal="right" vertical="center" wrapText="1" readingOrder="1"/>
    </xf>
    <xf numFmtId="3" fontId="7" fillId="0" borderId="7" xfId="0" applyNumberFormat="1" applyFont="1" applyFill="1" applyBorder="1" applyAlignment="1">
      <alignment vertical="center" wrapText="1" readingOrder="1"/>
    </xf>
    <xf numFmtId="0" fontId="7" fillId="0" borderId="7" xfId="0" applyFont="1" applyFill="1" applyBorder="1" applyAlignment="1">
      <alignment horizontal="left" vertical="center" wrapText="1" readingOrder="1"/>
    </xf>
    <xf numFmtId="0" fontId="0" fillId="0" borderId="0" xfId="0" applyFill="1" applyBorder="1" applyAlignment="1">
      <alignment horizontal="left" readingOrder="1"/>
    </xf>
    <xf numFmtId="1" fontId="0" fillId="0" borderId="0" xfId="0" applyNumberFormat="1" applyFill="1" applyBorder="1" applyAlignment="1">
      <alignment horizontal="left" readingOrder="1"/>
    </xf>
    <xf numFmtId="0" fontId="7" fillId="3" borderId="3" xfId="0" applyFont="1" applyFill="1" applyBorder="1" applyAlignment="1">
      <alignment vertical="center" wrapText="1" readingOrder="1"/>
    </xf>
    <xf numFmtId="0" fontId="7" fillId="3" borderId="3" xfId="0" applyFont="1" applyFill="1" applyBorder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right" vertical="center" wrapText="1" readingOrder="1"/>
    </xf>
    <xf numFmtId="0" fontId="11" fillId="6" borderId="1" xfId="0" applyFont="1" applyFill="1" applyBorder="1" applyAlignment="1">
      <alignment vertical="center" wrapText="1" readingOrder="1"/>
    </xf>
    <xf numFmtId="0" fontId="11" fillId="6" borderId="1" xfId="0" applyFont="1" applyFill="1" applyBorder="1" applyAlignment="1">
      <alignment horizontal="center" vertical="center" wrapText="1" readingOrder="1"/>
    </xf>
    <xf numFmtId="0" fontId="11" fillId="2" borderId="0" xfId="0" applyFont="1" applyFill="1" applyBorder="1" applyAlignment="1">
      <alignment readingOrder="1"/>
    </xf>
    <xf numFmtId="0" fontId="11" fillId="2" borderId="0" xfId="0" applyFont="1" applyFill="1" applyBorder="1" applyAlignment="1">
      <alignment horizontal="center" readingOrder="1"/>
    </xf>
    <xf numFmtId="0" fontId="11" fillId="3" borderId="0" xfId="0" applyFont="1" applyFill="1" applyBorder="1" applyAlignment="1">
      <alignment vertical="center" wrapText="1" readingOrder="1"/>
    </xf>
    <xf numFmtId="0" fontId="11" fillId="3" borderId="2" xfId="0" applyFont="1" applyFill="1" applyBorder="1" applyAlignment="1">
      <alignment horizontal="right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left" vertical="center" wrapText="1" readingOrder="1"/>
    </xf>
    <xf numFmtId="3" fontId="7" fillId="7" borderId="0" xfId="0" applyNumberFormat="1" applyFont="1" applyFill="1" applyBorder="1" applyAlignment="1">
      <alignment vertical="center" wrapText="1" readingOrder="1"/>
    </xf>
    <xf numFmtId="1" fontId="7" fillId="7" borderId="0" xfId="0" applyNumberFormat="1" applyFont="1" applyFill="1" applyBorder="1" applyAlignment="1">
      <alignment vertical="center" wrapText="1" readingOrder="1"/>
    </xf>
    <xf numFmtId="0" fontId="7" fillId="7" borderId="0" xfId="0" applyFont="1" applyFill="1" applyBorder="1" applyAlignment="1">
      <alignment horizontal="left" vertical="center" wrapText="1" readingOrder="1"/>
    </xf>
    <xf numFmtId="0" fontId="11" fillId="3" borderId="0" xfId="0" applyFont="1" applyFill="1" applyBorder="1" applyAlignment="1">
      <alignment horizontal="right" vertical="center" wrapText="1" readingOrder="1"/>
    </xf>
    <xf numFmtId="1" fontId="11" fillId="3" borderId="0" xfId="0" applyNumberFormat="1" applyFont="1" applyFill="1" applyBorder="1" applyAlignment="1">
      <alignment vertical="center" wrapText="1" readingOrder="1"/>
    </xf>
    <xf numFmtId="1" fontId="7" fillId="0" borderId="0" xfId="0" applyNumberFormat="1" applyFont="1" applyFill="1" applyBorder="1" applyAlignment="1">
      <alignment vertical="center" wrapText="1" readingOrder="1"/>
    </xf>
    <xf numFmtId="0" fontId="8" fillId="5" borderId="5" xfId="0" applyFont="1" applyFill="1" applyBorder="1" applyAlignment="1">
      <alignment vertical="center" wrapText="1" readingOrder="1"/>
    </xf>
    <xf numFmtId="3" fontId="7" fillId="4" borderId="5" xfId="0" applyNumberFormat="1" applyFont="1" applyFill="1" applyBorder="1" applyAlignment="1">
      <alignment vertical="center" wrapText="1" readingOrder="1"/>
    </xf>
    <xf numFmtId="0" fontId="9" fillId="0" borderId="4" xfId="0" applyFont="1" applyBorder="1" applyAlignment="1">
      <alignment readingOrder="1"/>
    </xf>
    <xf numFmtId="0" fontId="9" fillId="0" borderId="0" xfId="0" applyFont="1" applyBorder="1" applyAlignment="1">
      <alignment horizontal="center" readingOrder="1"/>
    </xf>
    <xf numFmtId="0" fontId="7" fillId="0" borderId="0" xfId="0" applyFont="1" applyAlignment="1">
      <alignment horizontal="center" readingOrder="1"/>
    </xf>
    <xf numFmtId="0" fontId="7" fillId="7" borderId="0" xfId="0" applyFont="1" applyFill="1" applyBorder="1" applyAlignment="1">
      <alignment horizontal="center" vertical="center" wrapText="1" readingOrder="1"/>
    </xf>
    <xf numFmtId="0" fontId="7" fillId="6" borderId="0" xfId="0" applyFont="1" applyFill="1" applyBorder="1" applyAlignment="1">
      <alignment readingOrder="1"/>
    </xf>
    <xf numFmtId="0" fontId="7" fillId="6" borderId="0" xfId="0" applyFont="1" applyFill="1" applyBorder="1" applyAlignment="1">
      <alignment horizontal="right" readingOrder="1"/>
    </xf>
    <xf numFmtId="0" fontId="7" fillId="7" borderId="0" xfId="0" applyFont="1" applyFill="1" applyBorder="1" applyAlignment="1">
      <alignment horizontal="right" wrapText="1" readingOrder="1"/>
    </xf>
    <xf numFmtId="0" fontId="7" fillId="2" borderId="0" xfId="0" applyFont="1" applyFill="1" applyAlignment="1">
      <alignment horizontal="right" readingOrder="1"/>
    </xf>
    <xf numFmtId="0" fontId="7" fillId="3" borderId="0" xfId="0" applyFont="1" applyFill="1" applyBorder="1" applyAlignment="1">
      <alignment horizontal="right" wrapText="1" readingOrder="1"/>
    </xf>
    <xf numFmtId="0" fontId="7" fillId="2" borderId="0" xfId="0" applyFont="1" applyFill="1" applyBorder="1" applyAlignment="1">
      <alignment horizontal="right" wrapText="1" readingOrder="1"/>
    </xf>
    <xf numFmtId="1" fontId="7" fillId="7" borderId="0" xfId="0" applyNumberFormat="1" applyFont="1" applyFill="1" applyBorder="1" applyAlignment="1">
      <alignment horizontal="right" vertical="center" wrapText="1" readingOrder="1"/>
    </xf>
    <xf numFmtId="1" fontId="7" fillId="7" borderId="0" xfId="0" applyNumberFormat="1" applyFont="1" applyFill="1" applyBorder="1" applyAlignment="1">
      <alignment horizontal="left" vertical="center" wrapText="1" readingOrder="1"/>
    </xf>
    <xf numFmtId="1" fontId="7" fillId="4" borderId="0" xfId="0" applyNumberFormat="1" applyFont="1" applyFill="1" applyBorder="1" applyAlignment="1">
      <alignment horizontal="right" vertical="center" wrapText="1" readingOrder="1"/>
    </xf>
    <xf numFmtId="3" fontId="7" fillId="5" borderId="0" xfId="0" applyNumberFormat="1" applyFont="1" applyFill="1" applyBorder="1" applyAlignment="1">
      <alignment readingOrder="1"/>
    </xf>
    <xf numFmtId="3" fontId="7" fillId="7" borderId="3" xfId="0" applyNumberFormat="1" applyFont="1" applyFill="1" applyBorder="1" applyAlignment="1">
      <alignment vertical="center" wrapText="1" readingOrder="1"/>
    </xf>
    <xf numFmtId="3" fontId="7" fillId="6" borderId="3" xfId="0" applyNumberFormat="1" applyFont="1" applyFill="1" applyBorder="1" applyAlignment="1">
      <alignment readingOrder="1"/>
    </xf>
    <xf numFmtId="1" fontId="7" fillId="7" borderId="3" xfId="0" applyNumberFormat="1" applyFont="1" applyFill="1" applyBorder="1" applyAlignment="1">
      <alignment horizontal="left" vertical="center" wrapText="1" readingOrder="1"/>
    </xf>
    <xf numFmtId="0" fontId="8" fillId="5" borderId="7" xfId="0" applyFont="1" applyFill="1" applyBorder="1" applyAlignment="1">
      <alignment vertical="center" wrapText="1" readingOrder="1"/>
    </xf>
    <xf numFmtId="1" fontId="8" fillId="5" borderId="7" xfId="0" applyNumberFormat="1" applyFont="1" applyFill="1" applyBorder="1" applyAlignment="1">
      <alignment vertical="center" wrapText="1" readingOrder="1"/>
    </xf>
    <xf numFmtId="3" fontId="8" fillId="4" borderId="7" xfId="0" applyNumberFormat="1" applyFont="1" applyFill="1" applyBorder="1" applyAlignment="1">
      <alignment vertical="center" wrapText="1" readingOrder="1"/>
    </xf>
    <xf numFmtId="0" fontId="8" fillId="4" borderId="3" xfId="0" applyFont="1" applyFill="1" applyBorder="1" applyAlignment="1">
      <alignment horizontal="left" vertical="center" wrapText="1" readingOrder="1"/>
    </xf>
    <xf numFmtId="0" fontId="0" fillId="5" borderId="0" xfId="0" applyFill="1" applyBorder="1" applyAlignment="1">
      <alignment readingOrder="1"/>
    </xf>
    <xf numFmtId="0" fontId="9" fillId="0" borderId="0" xfId="0" applyFont="1" applyBorder="1" applyAlignment="1">
      <alignment readingOrder="1"/>
    </xf>
    <xf numFmtId="0" fontId="7" fillId="4" borderId="0" xfId="0" applyFont="1" applyFill="1" applyBorder="1" applyAlignment="1">
      <alignment horizontal="center" vertical="center" wrapText="1" readingOrder="1"/>
    </xf>
    <xf numFmtId="1" fontId="7" fillId="3" borderId="0" xfId="0" applyNumberFormat="1" applyFont="1" applyFill="1" applyBorder="1" applyAlignment="1">
      <alignment horizontal="left" vertical="center" wrapText="1" readingOrder="1"/>
    </xf>
    <xf numFmtId="0" fontId="7" fillId="6" borderId="1" xfId="0" applyFont="1" applyFill="1" applyBorder="1" applyAlignment="1">
      <alignment readingOrder="1"/>
    </xf>
    <xf numFmtId="0" fontId="7" fillId="6" borderId="1" xfId="0" applyFont="1" applyFill="1" applyBorder="1" applyAlignment="1">
      <alignment horizontal="right" vertical="center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readingOrder="1"/>
    </xf>
    <xf numFmtId="0" fontId="7" fillId="2" borderId="2" xfId="0" applyFont="1" applyFill="1" applyBorder="1" applyAlignment="1">
      <alignment horizontal="left" vertical="center" wrapText="1" readingOrder="1"/>
    </xf>
    <xf numFmtId="0" fontId="6" fillId="0" borderId="0" xfId="0" applyFont="1" applyFill="1" applyAlignment="1">
      <alignment readingOrder="1"/>
    </xf>
    <xf numFmtId="0" fontId="8" fillId="0" borderId="6" xfId="0" applyFont="1" applyFill="1" applyBorder="1" applyAlignment="1">
      <alignment horizontal="right" vertical="center" wrapText="1" readingOrder="1"/>
    </xf>
    <xf numFmtId="3" fontId="7" fillId="0" borderId="6" xfId="0" applyNumberFormat="1" applyFont="1" applyFill="1" applyBorder="1" applyAlignment="1">
      <alignment horizontal="left" vertical="center" wrapText="1" readingOrder="1"/>
    </xf>
    <xf numFmtId="0" fontId="8" fillId="0" borderId="6" xfId="0" applyFont="1" applyFill="1" applyBorder="1" applyAlignment="1">
      <alignment horizontal="left" vertical="center" wrapText="1" readingOrder="1"/>
    </xf>
    <xf numFmtId="1" fontId="7" fillId="3" borderId="0" xfId="0" applyNumberFormat="1" applyFont="1" applyFill="1" applyBorder="1" applyAlignment="1">
      <alignment horizontal="center" vertical="center" wrapText="1" readingOrder="1"/>
    </xf>
    <xf numFmtId="1" fontId="7" fillId="3" borderId="0" xfId="0" applyNumberFormat="1" applyFont="1" applyFill="1" applyBorder="1" applyAlignment="1">
      <alignment vertical="center" wrapText="1" readingOrder="1"/>
    </xf>
    <xf numFmtId="0" fontId="7" fillId="6" borderId="24" xfId="0" applyFont="1" applyFill="1" applyBorder="1" applyAlignment="1">
      <alignment readingOrder="1"/>
    </xf>
    <xf numFmtId="1" fontId="7" fillId="6" borderId="24" xfId="0" applyNumberFormat="1" applyFont="1" applyFill="1" applyBorder="1" applyAlignment="1">
      <alignment readingOrder="1"/>
    </xf>
    <xf numFmtId="168" fontId="7" fillId="6" borderId="24" xfId="1" applyNumberFormat="1" applyFont="1" applyFill="1" applyBorder="1" applyAlignment="1">
      <alignment readingOrder="1"/>
    </xf>
    <xf numFmtId="0" fontId="8" fillId="0" borderId="2" xfId="0" applyFont="1" applyFill="1" applyBorder="1" applyAlignment="1">
      <alignment horizontal="right" vertical="center" wrapText="1" readingOrder="1"/>
    </xf>
    <xf numFmtId="3" fontId="8" fillId="0" borderId="2" xfId="0" applyNumberFormat="1" applyFont="1" applyFill="1" applyBorder="1" applyAlignment="1">
      <alignment horizontal="left" vertical="center" wrapText="1" readingOrder="1"/>
    </xf>
    <xf numFmtId="0" fontId="8" fillId="0" borderId="2" xfId="0" applyFont="1" applyFill="1" applyBorder="1" applyAlignment="1">
      <alignment horizontal="left" vertical="center" wrapText="1" readingOrder="1"/>
    </xf>
    <xf numFmtId="1" fontId="7" fillId="3" borderId="3" xfId="0" applyNumberFormat="1" applyFont="1" applyFill="1" applyBorder="1" applyAlignment="1">
      <alignment vertical="center" wrapText="1" readingOrder="1"/>
    </xf>
    <xf numFmtId="0" fontId="7" fillId="2" borderId="3" xfId="0" applyFont="1" applyFill="1" applyBorder="1" applyAlignment="1">
      <alignment vertical="center" wrapText="1" readingOrder="1"/>
    </xf>
    <xf numFmtId="1" fontId="7" fillId="3" borderId="3" xfId="0" applyNumberFormat="1" applyFont="1" applyFill="1" applyBorder="1" applyAlignment="1">
      <alignment horizontal="left" vertical="center" wrapText="1" readingOrder="1"/>
    </xf>
    <xf numFmtId="0" fontId="13" fillId="6" borderId="0" xfId="0" applyFont="1" applyFill="1" applyBorder="1" applyAlignment="1">
      <alignment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readingOrder="1"/>
    </xf>
    <xf numFmtId="0" fontId="8" fillId="6" borderId="0" xfId="0" applyFont="1" applyFill="1" applyAlignment="1">
      <alignment readingOrder="1"/>
    </xf>
    <xf numFmtId="1" fontId="8" fillId="0" borderId="0" xfId="0" applyNumberFormat="1" applyFont="1" applyAlignment="1">
      <alignment readingOrder="1"/>
    </xf>
    <xf numFmtId="1" fontId="0" fillId="5" borderId="0" xfId="0" applyNumberFormat="1" applyFill="1" applyAlignment="1">
      <alignment readingOrder="1"/>
    </xf>
    <xf numFmtId="0" fontId="7" fillId="5" borderId="6" xfId="0" applyFont="1" applyFill="1" applyBorder="1" applyAlignment="1">
      <alignment horizontal="right" vertical="center" wrapText="1" readingOrder="1"/>
    </xf>
    <xf numFmtId="1" fontId="7" fillId="4" borderId="6" xfId="0" applyNumberFormat="1" applyFont="1" applyFill="1" applyBorder="1" applyAlignment="1">
      <alignment horizontal="left" vertical="center" wrapText="1" readingOrder="1"/>
    </xf>
    <xf numFmtId="168" fontId="7" fillId="4" borderId="6" xfId="1" applyNumberFormat="1" applyFont="1" applyFill="1" applyBorder="1" applyAlignment="1">
      <alignment horizontal="left" vertical="center" wrapText="1" readingOrder="1"/>
    </xf>
    <xf numFmtId="0" fontId="7" fillId="6" borderId="0" xfId="0" applyFont="1" applyFill="1" applyBorder="1" applyAlignment="1">
      <alignment horizontal="left" vertical="center" wrapText="1" readingOrder="1"/>
    </xf>
    <xf numFmtId="0" fontId="8" fillId="0" borderId="0" xfId="0" applyFont="1" applyFill="1" applyAlignment="1">
      <alignment readingOrder="1"/>
    </xf>
    <xf numFmtId="0" fontId="8" fillId="5" borderId="6" xfId="0" applyFont="1" applyFill="1" applyBorder="1" applyAlignment="1">
      <alignment horizontal="right" vertical="center" wrapText="1" readingOrder="1"/>
    </xf>
    <xf numFmtId="1" fontId="8" fillId="4" borderId="6" xfId="0" applyNumberFormat="1" applyFont="1" applyFill="1" applyBorder="1" applyAlignment="1">
      <alignment horizontal="left" vertical="center" wrapText="1" readingOrder="1"/>
    </xf>
    <xf numFmtId="168" fontId="8" fillId="4" borderId="6" xfId="1" applyNumberFormat="1" applyFont="1" applyFill="1" applyBorder="1" applyAlignment="1">
      <alignment horizontal="left" vertical="center" wrapText="1" readingOrder="1"/>
    </xf>
    <xf numFmtId="0" fontId="7" fillId="2" borderId="3" xfId="0" applyFont="1" applyFill="1" applyBorder="1" applyAlignment="1">
      <alignment horizontal="left" vertical="center" readingOrder="1"/>
    </xf>
    <xf numFmtId="0" fontId="4" fillId="2" borderId="0" xfId="0" applyFont="1" applyFill="1" applyAlignment="1">
      <alignment readingOrder="1"/>
    </xf>
    <xf numFmtId="0" fontId="8" fillId="7" borderId="0" xfId="0" applyFont="1" applyFill="1" applyBorder="1" applyAlignment="1">
      <alignment horizontal="center" vertical="center" wrapText="1" readingOrder="1"/>
    </xf>
    <xf numFmtId="0" fontId="8" fillId="3" borderId="0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vertical="center" wrapText="1" readingOrder="1"/>
    </xf>
    <xf numFmtId="0" fontId="8" fillId="6" borderId="0" xfId="0" applyFont="1" applyFill="1" applyBorder="1" applyAlignment="1">
      <alignment horizontal="right" vertical="center" wrapText="1" readingOrder="1"/>
    </xf>
    <xf numFmtId="0" fontId="8" fillId="6" borderId="0" xfId="0" applyFont="1" applyFill="1" applyBorder="1" applyAlignment="1">
      <alignment horizontal="center" vertical="center" wrapText="1" readingOrder="1"/>
    </xf>
    <xf numFmtId="0" fontId="8" fillId="6" borderId="0" xfId="0" applyFont="1" applyFill="1" applyBorder="1" applyAlignment="1">
      <alignment readingOrder="1"/>
    </xf>
    <xf numFmtId="0" fontId="8" fillId="2" borderId="0" xfId="0" applyFont="1" applyFill="1" applyAlignment="1">
      <alignment readingOrder="1"/>
    </xf>
    <xf numFmtId="0" fontId="8" fillId="5" borderId="0" xfId="0" applyFont="1" applyFill="1" applyBorder="1" applyAlignment="1">
      <alignment horizontal="right" vertical="center" wrapText="1" readingOrder="1"/>
    </xf>
    <xf numFmtId="0" fontId="8" fillId="2" borderId="0" xfId="0" applyFont="1" applyFill="1" applyBorder="1" applyAlignment="1">
      <alignment horizontal="right" vertical="center" wrapText="1" readingOrder="1"/>
    </xf>
    <xf numFmtId="0" fontId="8" fillId="2" borderId="0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right" vertical="center" wrapText="1" readingOrder="1"/>
    </xf>
    <xf numFmtId="0" fontId="8" fillId="2" borderId="2" xfId="0" applyFont="1" applyFill="1" applyBorder="1" applyAlignment="1">
      <alignment horizontal="right" readingOrder="1"/>
    </xf>
    <xf numFmtId="0" fontId="8" fillId="2" borderId="2" xfId="0" applyFont="1" applyFill="1" applyBorder="1" applyAlignment="1">
      <alignment vertical="center" wrapText="1" readingOrder="1"/>
    </xf>
    <xf numFmtId="1" fontId="8" fillId="6" borderId="0" xfId="0" applyNumberFormat="1" applyFont="1" applyFill="1" applyAlignment="1">
      <alignment readingOrder="1"/>
    </xf>
    <xf numFmtId="1" fontId="8" fillId="6" borderId="0" xfId="0" applyNumberFormat="1" applyFont="1" applyFill="1" applyBorder="1" applyAlignment="1">
      <alignment readingOrder="1"/>
    </xf>
    <xf numFmtId="3" fontId="8" fillId="6" borderId="0" xfId="0" applyNumberFormat="1" applyFont="1" applyFill="1" applyBorder="1" applyAlignment="1">
      <alignment readingOrder="1"/>
    </xf>
    <xf numFmtId="1" fontId="8" fillId="6" borderId="0" xfId="0" applyNumberFormat="1" applyFont="1" applyFill="1" applyBorder="1" applyAlignment="1">
      <alignment horizontal="left" vertical="center" wrapText="1" readingOrder="1"/>
    </xf>
    <xf numFmtId="0" fontId="4" fillId="0" borderId="0" xfId="0" applyFont="1" applyFill="1" applyAlignment="1">
      <alignment readingOrder="1"/>
    </xf>
    <xf numFmtId="1" fontId="8" fillId="0" borderId="0" xfId="0" applyNumberFormat="1" applyFont="1" applyFill="1" applyBorder="1" applyAlignment="1">
      <alignment horizontal="right" readingOrder="1"/>
    </xf>
    <xf numFmtId="3" fontId="8" fillId="0" borderId="0" xfId="0" applyNumberFormat="1" applyFont="1" applyFill="1" applyBorder="1" applyAlignment="1">
      <alignment horizontal="left" vertical="center" wrapText="1" readingOrder="1"/>
    </xf>
    <xf numFmtId="1" fontId="8" fillId="6" borderId="0" xfId="0" applyNumberFormat="1" applyFont="1" applyFill="1" applyBorder="1" applyAlignment="1">
      <alignment vertical="center" wrapText="1" readingOrder="1"/>
    </xf>
    <xf numFmtId="3" fontId="8" fillId="6" borderId="0" xfId="0" applyNumberFormat="1" applyFont="1" applyFill="1" applyBorder="1" applyAlignment="1">
      <alignment vertical="center" wrapText="1" readingOrder="1"/>
    </xf>
    <xf numFmtId="1" fontId="8" fillId="0" borderId="0" xfId="0" applyNumberFormat="1" applyFont="1" applyFill="1" applyBorder="1" applyAlignment="1">
      <alignment vertical="center" wrapText="1" readingOrder="1"/>
    </xf>
    <xf numFmtId="3" fontId="8" fillId="0" borderId="0" xfId="0" applyNumberFormat="1" applyFont="1" applyFill="1" applyBorder="1" applyAlignment="1">
      <alignment vertical="center" wrapText="1" readingOrder="1"/>
    </xf>
    <xf numFmtId="3" fontId="8" fillId="0" borderId="0" xfId="0" applyNumberFormat="1" applyFont="1" applyFill="1" applyBorder="1" applyAlignment="1">
      <alignment readingOrder="1"/>
    </xf>
    <xf numFmtId="3" fontId="8" fillId="6" borderId="0" xfId="0" applyNumberFormat="1" applyFont="1" applyFill="1" applyBorder="1" applyAlignment="1">
      <alignment horizontal="left" vertical="center" wrapText="1" readingOrder="1"/>
    </xf>
    <xf numFmtId="1" fontId="8" fillId="0" borderId="0" xfId="0" applyNumberFormat="1" applyFont="1" applyFill="1" applyBorder="1" applyAlignment="1">
      <alignment horizontal="left" vertical="center" wrapText="1" readingOrder="1"/>
    </xf>
    <xf numFmtId="1" fontId="8" fillId="0" borderId="6" xfId="1" applyNumberFormat="1" applyFont="1" applyFill="1" applyBorder="1" applyAlignment="1">
      <alignment vertical="center" wrapText="1" readingOrder="1"/>
    </xf>
    <xf numFmtId="168" fontId="8" fillId="0" borderId="6" xfId="1" applyNumberFormat="1" applyFont="1" applyFill="1" applyBorder="1" applyAlignment="1">
      <alignment vertical="center" wrapText="1" readingOrder="1"/>
    </xf>
    <xf numFmtId="0" fontId="8" fillId="2" borderId="3" xfId="0" applyFont="1" applyFill="1" applyBorder="1" applyAlignment="1">
      <alignment horizontal="right" vertical="center" wrapText="1" readingOrder="1"/>
    </xf>
    <xf numFmtId="0" fontId="9" fillId="0" borderId="4" xfId="0" applyFont="1" applyBorder="1" applyAlignment="1">
      <alignment horizontal="right" readingOrder="1"/>
    </xf>
    <xf numFmtId="3" fontId="7" fillId="5" borderId="0" xfId="7" applyNumberFormat="1" applyFont="1" applyFill="1" applyBorder="1" applyAlignment="1">
      <alignment readingOrder="1"/>
    </xf>
    <xf numFmtId="3" fontId="7" fillId="0" borderId="0" xfId="7" applyNumberFormat="1" applyFont="1" applyFill="1" applyBorder="1" applyAlignment="1">
      <alignment readingOrder="1"/>
    </xf>
    <xf numFmtId="3" fontId="8" fillId="6" borderId="0" xfId="7" applyNumberFormat="1" applyFont="1" applyFill="1" applyBorder="1" applyAlignment="1">
      <alignment readingOrder="1"/>
    </xf>
    <xf numFmtId="3" fontId="7" fillId="6" borderId="0" xfId="7" applyNumberFormat="1" applyFont="1" applyFill="1" applyBorder="1" applyAlignment="1">
      <alignment readingOrder="1"/>
    </xf>
    <xf numFmtId="3" fontId="7" fillId="6" borderId="0" xfId="6" applyNumberFormat="1" applyFont="1" applyFill="1" applyBorder="1" applyAlignment="1">
      <alignment readingOrder="1"/>
    </xf>
    <xf numFmtId="3" fontId="7" fillId="0" borderId="0" xfId="2" applyNumberFormat="1" applyFont="1" applyFill="1" applyBorder="1" applyAlignment="1">
      <alignment readingOrder="1"/>
    </xf>
    <xf numFmtId="3" fontId="7" fillId="7" borderId="0" xfId="0" applyNumberFormat="1" applyFont="1" applyFill="1" applyBorder="1" applyAlignment="1">
      <alignment readingOrder="1"/>
    </xf>
    <xf numFmtId="1" fontId="7" fillId="6" borderId="0" xfId="0" applyNumberFormat="1" applyFont="1" applyFill="1" applyBorder="1" applyAlignment="1">
      <alignment readingOrder="1"/>
    </xf>
    <xf numFmtId="1" fontId="7" fillId="0" borderId="0" xfId="0" applyNumberFormat="1" applyFont="1" applyFill="1" applyBorder="1" applyAlignment="1">
      <alignment readingOrder="1"/>
    </xf>
    <xf numFmtId="0" fontId="7" fillId="2" borderId="3" xfId="0" applyFont="1" applyFill="1" applyBorder="1" applyAlignment="1">
      <alignment horizontal="right" readingOrder="1"/>
    </xf>
    <xf numFmtId="0" fontId="7" fillId="2" borderId="3" xfId="0" applyFont="1" applyFill="1" applyBorder="1" applyAlignment="1">
      <alignment horizontal="left" vertical="center" wrapText="1" readingOrder="1"/>
    </xf>
    <xf numFmtId="0" fontId="7" fillId="2" borderId="2" xfId="0" applyFont="1" applyFill="1" applyBorder="1" applyAlignment="1">
      <alignment horizontal="right" readingOrder="1"/>
    </xf>
    <xf numFmtId="0" fontId="8" fillId="0" borderId="0" xfId="0" applyFont="1" applyFill="1" applyAlignment="1">
      <alignment horizontal="right" readingOrder="1"/>
    </xf>
    <xf numFmtId="0" fontId="8" fillId="6" borderId="0" xfId="0" applyFont="1" applyFill="1" applyAlignment="1">
      <alignment horizontal="right" readingOrder="1"/>
    </xf>
    <xf numFmtId="0" fontId="6" fillId="2" borderId="0" xfId="0" applyFont="1" applyFill="1" applyAlignment="1">
      <alignment readingOrder="1"/>
    </xf>
    <xf numFmtId="0" fontId="8" fillId="5" borderId="6" xfId="0" applyFont="1" applyFill="1" applyBorder="1" applyAlignment="1">
      <alignment horizontal="left" vertical="center" wrapText="1" readingOrder="1"/>
    </xf>
    <xf numFmtId="168" fontId="8" fillId="5" borderId="6" xfId="1" applyNumberFormat="1" applyFont="1" applyFill="1" applyBorder="1" applyAlignment="1">
      <alignment horizontal="left" vertical="center" wrapText="1" readingOrder="1"/>
    </xf>
    <xf numFmtId="0" fontId="7" fillId="2" borderId="3" xfId="0" applyFont="1" applyFill="1" applyBorder="1" applyAlignment="1">
      <alignment horizontal="right" vertical="center" wrapText="1" readingOrder="1"/>
    </xf>
    <xf numFmtId="0" fontId="7" fillId="7" borderId="1" xfId="0" applyFont="1" applyFill="1" applyBorder="1" applyAlignment="1">
      <alignment horizontal="center" vertical="center" wrapText="1" readingOrder="1"/>
    </xf>
    <xf numFmtId="1" fontId="7" fillId="4" borderId="0" xfId="0" applyNumberFormat="1" applyFont="1" applyFill="1" applyBorder="1" applyAlignment="1">
      <alignment horizontal="center" vertical="center" wrapText="1" readingOrder="1"/>
    </xf>
    <xf numFmtId="0" fontId="7" fillId="6" borderId="0" xfId="0" applyFont="1" applyFill="1" applyAlignment="1">
      <alignment vertical="center" wrapText="1" readingOrder="1"/>
    </xf>
    <xf numFmtId="1" fontId="7" fillId="7" borderId="0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right" vertical="center" wrapText="1" readingOrder="1"/>
    </xf>
    <xf numFmtId="0" fontId="7" fillId="4" borderId="0" xfId="0" applyFont="1" applyFill="1" applyBorder="1" applyAlignment="1">
      <alignment horizontal="right" vertical="center" wrapText="1" readingOrder="1"/>
    </xf>
    <xf numFmtId="1" fontId="9" fillId="7" borderId="0" xfId="0" applyNumberFormat="1" applyFont="1" applyFill="1" applyBorder="1" applyAlignment="1">
      <alignment horizontal="left" vertical="center" wrapText="1" readingOrder="1"/>
    </xf>
    <xf numFmtId="3" fontId="8" fillId="4" borderId="7" xfId="0" applyNumberFormat="1" applyFont="1" applyFill="1" applyBorder="1" applyAlignment="1">
      <alignment horizontal="right" vertical="center" wrapText="1" readingOrder="1"/>
    </xf>
    <xf numFmtId="3" fontId="7" fillId="5" borderId="7" xfId="0" applyNumberFormat="1" applyFont="1" applyFill="1" applyBorder="1" applyAlignment="1">
      <alignment vertical="center" readingOrder="1"/>
    </xf>
    <xf numFmtId="3" fontId="7" fillId="4" borderId="7" xfId="0" applyNumberFormat="1" applyFont="1" applyFill="1" applyBorder="1" applyAlignment="1">
      <alignment vertical="center" wrapText="1" readingOrder="1"/>
    </xf>
    <xf numFmtId="2" fontId="8" fillId="4" borderId="7" xfId="0" applyNumberFormat="1" applyFont="1" applyFill="1" applyBorder="1" applyAlignment="1">
      <alignment horizontal="left" vertical="center" wrapText="1" readingOrder="1"/>
    </xf>
    <xf numFmtId="0" fontId="1" fillId="0" borderId="0" xfId="0" applyFont="1" applyAlignment="1">
      <alignment horizontal="center" readingOrder="1"/>
    </xf>
    <xf numFmtId="1" fontId="0" fillId="0" borderId="0" xfId="0" applyNumberFormat="1" applyBorder="1" applyAlignment="1">
      <alignment readingOrder="1"/>
    </xf>
    <xf numFmtId="0" fontId="7" fillId="7" borderId="0" xfId="0" applyFont="1" applyFill="1" applyBorder="1" applyAlignment="1">
      <alignment vertical="center" wrapText="1" readingOrder="1"/>
    </xf>
    <xf numFmtId="0" fontId="7" fillId="3" borderId="0" xfId="0" applyFont="1" applyFill="1" applyBorder="1" applyAlignment="1">
      <alignment horizontal="left" vertical="center" wrapText="1" readingOrder="1"/>
    </xf>
    <xf numFmtId="1" fontId="7" fillId="2" borderId="3" xfId="0" applyNumberFormat="1" applyFont="1" applyFill="1" applyBorder="1" applyAlignment="1">
      <alignment horizontal="right" vertical="center" wrapText="1" readingOrder="1"/>
    </xf>
    <xf numFmtId="0" fontId="7" fillId="4" borderId="2" xfId="0" applyFont="1" applyFill="1" applyBorder="1" applyAlignment="1">
      <alignment vertical="center" wrapText="1" readingOrder="1"/>
    </xf>
    <xf numFmtId="0" fontId="7" fillId="5" borderId="2" xfId="0" applyFont="1" applyFill="1" applyBorder="1" applyAlignment="1">
      <alignment horizontal="right" vertical="center" wrapText="1" readingOrder="1"/>
    </xf>
    <xf numFmtId="0" fontId="7" fillId="4" borderId="2" xfId="0" applyFont="1" applyFill="1" applyBorder="1" applyAlignment="1">
      <alignment horizontal="left" vertical="center" wrapText="1" readingOrder="1"/>
    </xf>
    <xf numFmtId="0" fontId="7" fillId="6" borderId="1" xfId="0" applyFont="1" applyFill="1" applyBorder="1" applyAlignment="1">
      <alignment horizontal="center" readingOrder="1"/>
    </xf>
    <xf numFmtId="0" fontId="7" fillId="5" borderId="0" xfId="0" applyFont="1" applyFill="1" applyBorder="1" applyAlignment="1">
      <alignment horizontal="center" readingOrder="1"/>
    </xf>
    <xf numFmtId="0" fontId="7" fillId="5" borderId="0" xfId="0" applyFont="1" applyFill="1" applyBorder="1" applyAlignment="1">
      <alignment horizontal="center" vertical="center" wrapText="1" readingOrder="1"/>
    </xf>
    <xf numFmtId="0" fontId="7" fillId="5" borderId="0" xfId="0" applyFont="1" applyFill="1" applyAlignment="1">
      <alignment horizontal="center" readingOrder="1"/>
    </xf>
    <xf numFmtId="1" fontId="7" fillId="4" borderId="2" xfId="0" applyNumberFormat="1" applyFont="1" applyFill="1" applyBorder="1" applyAlignment="1">
      <alignment horizontal="right" vertical="center" wrapText="1" readingOrder="1"/>
    </xf>
    <xf numFmtId="0" fontId="7" fillId="5" borderId="2" xfId="0" applyFont="1" applyFill="1" applyBorder="1" applyAlignment="1">
      <alignment vertical="center" wrapText="1" readingOrder="1"/>
    </xf>
    <xf numFmtId="167" fontId="7" fillId="6" borderId="0" xfId="0" applyNumberFormat="1" applyFont="1" applyFill="1" applyBorder="1" applyAlignment="1">
      <alignment readingOrder="1"/>
    </xf>
    <xf numFmtId="167" fontId="7" fillId="0" borderId="0" xfId="0" applyNumberFormat="1" applyFont="1" applyFill="1" applyBorder="1" applyAlignment="1">
      <alignment readingOrder="1"/>
    </xf>
    <xf numFmtId="1" fontId="7" fillId="6" borderId="3" xfId="0" applyNumberFormat="1" applyFont="1" applyFill="1" applyBorder="1" applyAlignment="1">
      <alignment horizontal="right" vertical="center" wrapText="1" readingOrder="1"/>
    </xf>
    <xf numFmtId="3" fontId="7" fillId="6" borderId="3" xfId="0" applyNumberFormat="1" applyFont="1" applyFill="1" applyBorder="1" applyAlignment="1">
      <alignment vertical="center" wrapText="1" readingOrder="1"/>
    </xf>
    <xf numFmtId="167" fontId="7" fillId="6" borderId="3" xfId="0" applyNumberFormat="1" applyFont="1" applyFill="1" applyBorder="1" applyAlignment="1">
      <alignment readingOrder="1"/>
    </xf>
    <xf numFmtId="1" fontId="7" fillId="6" borderId="3" xfId="0" applyNumberFormat="1" applyFont="1" applyFill="1" applyBorder="1" applyAlignment="1">
      <alignment horizontal="left" vertical="center" wrapText="1" readingOrder="1"/>
    </xf>
    <xf numFmtId="0" fontId="8" fillId="0" borderId="3" xfId="0" applyFont="1" applyFill="1" applyBorder="1" applyAlignment="1">
      <alignment horizontal="right" vertical="center" wrapText="1" readingOrder="1"/>
    </xf>
    <xf numFmtId="3" fontId="7" fillId="0" borderId="3" xfId="0" applyNumberFormat="1" applyFont="1" applyFill="1" applyBorder="1" applyAlignment="1">
      <alignment vertical="center" wrapText="1" readingOrder="1"/>
    </xf>
    <xf numFmtId="1" fontId="8" fillId="0" borderId="3" xfId="0" applyNumberFormat="1" applyFont="1" applyFill="1" applyBorder="1" applyAlignment="1">
      <alignment horizontal="left" vertical="center" wrapText="1" readingOrder="1"/>
    </xf>
    <xf numFmtId="0" fontId="8" fillId="2" borderId="3" xfId="0" applyFont="1" applyFill="1" applyBorder="1"/>
    <xf numFmtId="0" fontId="7" fillId="0" borderId="0" xfId="0" applyFont="1" applyAlignment="1">
      <alignment horizontal="left" vertical="center"/>
    </xf>
    <xf numFmtId="0" fontId="7" fillId="6" borderId="0" xfId="0" applyFont="1" applyFill="1" applyAlignment="1">
      <alignment horizontal="center" readingOrder="1"/>
    </xf>
    <xf numFmtId="0" fontId="7" fillId="0" borderId="0" xfId="0" applyFont="1" applyAlignment="1">
      <alignment horizontal="center" readingOrder="1"/>
    </xf>
    <xf numFmtId="0" fontId="7" fillId="6" borderId="0" xfId="0" applyFont="1" applyFill="1" applyBorder="1" applyAlignment="1">
      <alignment horizontal="right" vertical="center" wrapText="1" readingOrder="1"/>
    </xf>
    <xf numFmtId="0" fontId="7" fillId="6" borderId="0" xfId="0" applyFont="1" applyFill="1" applyBorder="1" applyAlignment="1">
      <alignment horizontal="center" vertical="center" wrapText="1" readingOrder="1"/>
    </xf>
    <xf numFmtId="0" fontId="7" fillId="7" borderId="0" xfId="0" applyFont="1" applyFill="1" applyBorder="1" applyAlignment="1">
      <alignment horizontal="left" vertical="center" wrapText="1" readingOrder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readingOrder="1"/>
    </xf>
    <xf numFmtId="0" fontId="7" fillId="7" borderId="0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left" vertical="center" wrapText="1" readingOrder="1"/>
    </xf>
    <xf numFmtId="0" fontId="7" fillId="2" borderId="0" xfId="0" applyFont="1" applyFill="1" applyBorder="1" applyAlignment="1">
      <alignment horizontal="right" readingOrder="1"/>
    </xf>
    <xf numFmtId="0" fontId="7" fillId="3" borderId="0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center" vertical="center" wrapText="1" readingOrder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right" readingOrder="1"/>
    </xf>
    <xf numFmtId="0" fontId="7" fillId="3" borderId="3" xfId="0" applyFont="1" applyFill="1" applyBorder="1" applyAlignment="1">
      <alignment horizontal="right" vertical="center" wrapText="1" readingOrder="1"/>
    </xf>
    <xf numFmtId="0" fontId="7" fillId="2" borderId="3" xfId="0" applyFont="1" applyFill="1" applyBorder="1" applyAlignment="1">
      <alignment horizontal="center" readingOrder="1"/>
    </xf>
    <xf numFmtId="0" fontId="7" fillId="3" borderId="0" xfId="0" applyFont="1" applyFill="1" applyBorder="1" applyAlignment="1">
      <alignment horizontal="center" vertical="center" readingOrder="1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right" readingOrder="1"/>
    </xf>
    <xf numFmtId="0" fontId="7" fillId="2" borderId="2" xfId="0" applyFont="1" applyFill="1" applyBorder="1" applyAlignment="1">
      <alignment vertical="center" wrapText="1" readingOrder="1"/>
    </xf>
    <xf numFmtId="0" fontId="7" fillId="4" borderId="0" xfId="0" applyFont="1" applyFill="1" applyBorder="1" applyAlignment="1">
      <alignment horizontal="center" vertical="center" wrapText="1" readingOrder="1"/>
    </xf>
    <xf numFmtId="1" fontId="7" fillId="3" borderId="0" xfId="0" applyNumberFormat="1" applyFont="1" applyFill="1" applyBorder="1" applyAlignment="1">
      <alignment horizontal="right" vertical="center" wrapText="1" readingOrder="1"/>
    </xf>
    <xf numFmtId="0" fontId="7" fillId="0" borderId="0" xfId="0" applyFont="1" applyAlignment="1">
      <alignment horizontal="left" readingOrder="1"/>
    </xf>
    <xf numFmtId="0" fontId="9" fillId="0" borderId="4" xfId="0" applyFont="1" applyBorder="1" applyAlignment="1">
      <alignment horizontal="right" readingOrder="1"/>
    </xf>
    <xf numFmtId="0" fontId="9" fillId="0" borderId="0" xfId="0" applyFont="1" applyAlignment="1">
      <alignment horizontal="right" readingOrder="1"/>
    </xf>
    <xf numFmtId="1" fontId="7" fillId="3" borderId="3" xfId="0" applyNumberFormat="1" applyFont="1" applyFill="1" applyBorder="1" applyAlignment="1">
      <alignment horizontal="left" vertical="center" wrapText="1" readingOrder="1"/>
    </xf>
    <xf numFmtId="0" fontId="9" fillId="0" borderId="0" xfId="0" applyFont="1" applyAlignment="1">
      <alignment horizontal="right" vertical="center" readingOrder="1"/>
    </xf>
    <xf numFmtId="0" fontId="8" fillId="2" borderId="3" xfId="0" applyFont="1" applyFill="1" applyBorder="1" applyAlignment="1">
      <alignment horizontal="left" readingOrder="1"/>
    </xf>
    <xf numFmtId="0" fontId="8" fillId="3" borderId="0" xfId="0" applyFont="1" applyFill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left" vertical="center" wrapText="1" readingOrder="1"/>
    </xf>
    <xf numFmtId="0" fontId="8" fillId="7" borderId="0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left" readingOrder="1"/>
    </xf>
    <xf numFmtId="0" fontId="7" fillId="2" borderId="2" xfId="0" applyFont="1" applyFill="1" applyBorder="1" applyAlignment="1">
      <alignment horizontal="right" vertical="center" wrapText="1" readingOrder="1"/>
    </xf>
    <xf numFmtId="0" fontId="7" fillId="2" borderId="3" xfId="0" applyFont="1" applyFill="1" applyBorder="1" applyAlignment="1">
      <alignment horizontal="left" vertical="center" wrapText="1" readingOrder="1"/>
    </xf>
    <xf numFmtId="1" fontId="7" fillId="4" borderId="0" xfId="0" applyNumberFormat="1" applyFont="1" applyFill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right" vertical="center" wrapText="1" readingOrder="1"/>
    </xf>
    <xf numFmtId="0" fontId="7" fillId="7" borderId="1" xfId="0" applyFont="1" applyFill="1" applyBorder="1" applyAlignment="1">
      <alignment horizontal="center" vertical="center" wrapText="1" readingOrder="1"/>
    </xf>
    <xf numFmtId="0" fontId="7" fillId="7" borderId="1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7" fillId="5" borderId="0" xfId="0" applyFont="1" applyFill="1" applyBorder="1" applyAlignment="1">
      <alignment horizontal="right" vertical="center" wrapText="1" readingOrder="1"/>
    </xf>
    <xf numFmtId="1" fontId="7" fillId="7" borderId="1" xfId="0" applyNumberFormat="1" applyFont="1" applyFill="1" applyBorder="1" applyAlignment="1">
      <alignment horizontal="center" vertical="center" wrapText="1" readingOrder="1"/>
    </xf>
    <xf numFmtId="1" fontId="7" fillId="7" borderId="0" xfId="0" applyNumberFormat="1" applyFont="1" applyFill="1" applyBorder="1" applyAlignment="1">
      <alignment horizontal="center" vertical="center" readingOrder="1"/>
    </xf>
    <xf numFmtId="1" fontId="7" fillId="7" borderId="0" xfId="0" applyNumberFormat="1" applyFont="1" applyFill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horizontal="left" vertical="center" wrapText="1" readingOrder="1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7" borderId="0" xfId="9" applyFont="1" applyFill="1" applyBorder="1" applyAlignment="1">
      <alignment horizontal="center" vertical="center" wrapText="1" readingOrder="1"/>
    </xf>
    <xf numFmtId="0" fontId="7" fillId="2" borderId="0" xfId="9" applyFont="1" applyFill="1" applyBorder="1" applyAlignment="1">
      <alignment horizontal="center" vertical="center" wrapText="1"/>
    </xf>
    <xf numFmtId="0" fontId="7" fillId="6" borderId="1" xfId="9" applyFont="1" applyFill="1" applyBorder="1" applyAlignment="1">
      <alignment horizontal="center" vertical="center" wrapText="1"/>
    </xf>
    <xf numFmtId="0" fontId="7" fillId="7" borderId="0" xfId="10" applyFont="1" applyFill="1" applyBorder="1" applyAlignment="1">
      <alignment horizontal="center" vertical="center" wrapText="1" readingOrder="1"/>
    </xf>
    <xf numFmtId="0" fontId="7" fillId="2" borderId="0" xfId="1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 readingOrder="1"/>
    </xf>
    <xf numFmtId="0" fontId="7" fillId="3" borderId="0" xfId="4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 readingOrder="1"/>
    </xf>
    <xf numFmtId="0" fontId="7" fillId="7" borderId="1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readingOrder="1"/>
    </xf>
    <xf numFmtId="0" fontId="7" fillId="4" borderId="0" xfId="0" applyFont="1" applyFill="1" applyBorder="1" applyAlignment="1">
      <alignment horizontal="left" vertical="center" wrapText="1" readingOrder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7" borderId="0" xfId="11" applyFont="1" applyFill="1" applyBorder="1" applyAlignment="1">
      <alignment horizontal="center" vertical="center" wrapText="1" readingOrder="1"/>
    </xf>
    <xf numFmtId="1" fontId="7" fillId="3" borderId="0" xfId="11" applyNumberFormat="1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7" borderId="0" xfId="2" applyFont="1" applyFill="1" applyBorder="1" applyAlignment="1">
      <alignment horizontal="center" vertical="center" wrapText="1" readingOrder="1"/>
    </xf>
    <xf numFmtId="0" fontId="7" fillId="3" borderId="0" xfId="2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/>
    </xf>
    <xf numFmtId="0" fontId="7" fillId="7" borderId="0" xfId="2" applyFont="1" applyFill="1" applyBorder="1" applyAlignment="1">
      <alignment horizontal="center"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0" fontId="7" fillId="7" borderId="1" xfId="6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7" borderId="0" xfId="6" applyFont="1" applyFill="1" applyBorder="1" applyAlignment="1">
      <alignment horizontal="center" vertical="center" wrapText="1" readingOrder="1"/>
    </xf>
    <xf numFmtId="0" fontId="7" fillId="7" borderId="0" xfId="3" applyFont="1" applyFill="1" applyBorder="1" applyAlignment="1">
      <alignment horizontal="center" vertical="center" wrapText="1" readingOrder="1"/>
    </xf>
    <xf numFmtId="0" fontId="7" fillId="3" borderId="0" xfId="3" applyFont="1" applyFill="1" applyBorder="1" applyAlignment="1">
      <alignment horizontal="center" vertical="center" wrapText="1"/>
    </xf>
    <xf numFmtId="1" fontId="7" fillId="2" borderId="3" xfId="3" applyNumberFormat="1" applyFont="1" applyFill="1" applyBorder="1" applyAlignment="1">
      <alignment horizontal="center" vertical="center" wrapText="1"/>
    </xf>
    <xf numFmtId="0" fontId="7" fillId="7" borderId="0" xfId="7" applyFont="1" applyFill="1" applyBorder="1" applyAlignment="1">
      <alignment horizontal="center" vertical="center" wrapText="1" readingOrder="1"/>
    </xf>
    <xf numFmtId="0" fontId="7" fillId="3" borderId="0" xfId="7" applyFont="1" applyFill="1" applyBorder="1" applyAlignment="1">
      <alignment horizontal="center" vertical="center" wrapText="1"/>
    </xf>
    <xf numFmtId="1" fontId="7" fillId="3" borderId="0" xfId="7" applyNumberFormat="1" applyFont="1" applyFill="1" applyBorder="1" applyAlignment="1">
      <alignment horizontal="right" vertical="center" wrapText="1"/>
    </xf>
    <xf numFmtId="0" fontId="7" fillId="3" borderId="3" xfId="7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readingOrder="1"/>
    </xf>
    <xf numFmtId="0" fontId="7" fillId="7" borderId="0" xfId="5" applyFont="1" applyFill="1" applyBorder="1" applyAlignment="1">
      <alignment horizontal="center" vertical="center" wrapText="1" readingOrder="1"/>
    </xf>
    <xf numFmtId="1" fontId="7" fillId="3" borderId="3" xfId="5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/>
    </xf>
    <xf numFmtId="0" fontId="7" fillId="7" borderId="1" xfId="5" applyFont="1" applyFill="1" applyBorder="1" applyAlignment="1">
      <alignment horizontal="center" vertical="center" wrapText="1"/>
    </xf>
    <xf numFmtId="0" fontId="7" fillId="7" borderId="0" xfId="8" applyFont="1" applyFill="1" applyBorder="1" applyAlignment="1">
      <alignment horizontal="center" vertical="center" wrapText="1" readingOrder="1"/>
    </xf>
    <xf numFmtId="0" fontId="7" fillId="2" borderId="0" xfId="8" applyFont="1" applyFill="1" applyBorder="1" applyAlignment="1">
      <alignment horizontal="center" vertical="center" wrapText="1"/>
    </xf>
    <xf numFmtId="1" fontId="7" fillId="2" borderId="3" xfId="8" applyNumberFormat="1" applyFont="1" applyFill="1" applyBorder="1" applyAlignment="1">
      <alignment horizontal="right" vertical="center" wrapText="1"/>
    </xf>
    <xf numFmtId="0" fontId="7" fillId="6" borderId="1" xfId="8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 wrapText="1"/>
    </xf>
  </cellXfs>
  <cellStyles count="17">
    <cellStyle name="Comma" xfId="1" builtinId="3"/>
    <cellStyle name="Normal" xfId="0" builtinId="0"/>
    <cellStyle name="Normal 4" xfId="12"/>
    <cellStyle name="Normal 5" xfId="13"/>
    <cellStyle name="Normal 6" xfId="14"/>
    <cellStyle name="Normal 7" xfId="15"/>
    <cellStyle name="Normal 8" xfId="16"/>
    <cellStyle name="Normal_Sheet1" xfId="2"/>
    <cellStyle name="Normal_Sheet3" xfId="3"/>
    <cellStyle name="Normal_Sheet6" xfId="4"/>
    <cellStyle name="Normal_Sheet8" xfId="5"/>
    <cellStyle name="Normal_ت.صحيه2" xfId="6"/>
    <cellStyle name="Normal_ت.صحيه4" xfId="7"/>
    <cellStyle name="Normal_ت.صحيه5" xfId="8"/>
    <cellStyle name="Normal_حصى" xfId="9"/>
    <cellStyle name="Normal_رمل" xfId="10"/>
    <cellStyle name="Normal_شبابيك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/>
            </a:pPr>
            <a:r>
              <a:rPr lang="ar-IQ" sz="1400"/>
              <a:t>شكل </a:t>
            </a:r>
            <a:r>
              <a:rPr lang="en-US" sz="1400"/>
              <a:t>(1) </a:t>
            </a:r>
            <a:r>
              <a:rPr lang="ar-IQ" sz="1400" baseline="0"/>
              <a:t> </a:t>
            </a:r>
            <a:endParaRPr lang="ar-IQ" sz="1400"/>
          </a:p>
          <a:p>
            <a:pPr rtl="1">
              <a:defRPr/>
            </a:pPr>
            <a:r>
              <a:rPr lang="en-US" sz="1400"/>
              <a:t>  </a:t>
            </a:r>
            <a:r>
              <a:rPr lang="ar-IQ" sz="1400"/>
              <a:t>الكلفة الكلية وقيمة المواد الانشائية واجور العاملين لابنية القطاع الخاص للسنوات</a:t>
            </a:r>
            <a:r>
              <a:rPr lang="en-US" sz="1400"/>
              <a:t>   </a:t>
            </a:r>
            <a:r>
              <a:rPr lang="ar-IQ" sz="1400"/>
              <a:t> </a:t>
            </a:r>
            <a:r>
              <a:rPr lang="en-US" sz="1400"/>
              <a:t>(2011-2024)</a:t>
            </a:r>
            <a:endParaRPr lang="ar-IQ" sz="1400"/>
          </a:p>
        </c:rich>
      </c:tx>
      <c:layout>
        <c:manualLayout>
          <c:xMode val="edge"/>
          <c:yMode val="edge"/>
          <c:x val="0.12502097031685472"/>
          <c:y val="1.3947001394700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24437370860558"/>
          <c:y val="0.14987469662526492"/>
          <c:w val="0.72022296182049406"/>
          <c:h val="0.73368475384091636"/>
        </c:manualLayout>
      </c:layout>
      <c:lineChart>
        <c:grouping val="standard"/>
        <c:varyColors val="0"/>
        <c:ser>
          <c:idx val="0"/>
          <c:order val="0"/>
          <c:tx>
            <c:strRef>
              <c:f>'الكلفه  للسنوات'!$B$31</c:f>
              <c:strCache>
                <c:ptCount val="1"/>
                <c:pt idx="0">
                  <c:v>الكلفة الكلية</c:v>
                </c:pt>
              </c:strCache>
            </c:strRef>
          </c:tx>
          <c:marker>
            <c:symbol val="none"/>
          </c:marker>
          <c:cat>
            <c:numRef>
              <c:f>'الكلفه  للسنوات'!$A$32:$A$45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'الكلفه  للسنوات'!$B$32:$B$45</c:f>
              <c:numCache>
                <c:formatCode>General</c:formatCode>
                <c:ptCount val="14"/>
                <c:pt idx="0">
                  <c:v>2150495</c:v>
                </c:pt>
                <c:pt idx="1">
                  <c:v>4421670</c:v>
                </c:pt>
                <c:pt idx="2">
                  <c:v>7158371</c:v>
                </c:pt>
                <c:pt idx="3">
                  <c:v>3320102</c:v>
                </c:pt>
                <c:pt idx="4">
                  <c:v>1932360</c:v>
                </c:pt>
                <c:pt idx="5">
                  <c:v>1962888</c:v>
                </c:pt>
                <c:pt idx="6">
                  <c:v>1479021</c:v>
                </c:pt>
                <c:pt idx="7">
                  <c:v>1398142</c:v>
                </c:pt>
                <c:pt idx="8">
                  <c:v>1162220</c:v>
                </c:pt>
                <c:pt idx="9">
                  <c:v>949191</c:v>
                </c:pt>
                <c:pt idx="10">
                  <c:v>1852178</c:v>
                </c:pt>
                <c:pt idx="11">
                  <c:v>2073832</c:v>
                </c:pt>
                <c:pt idx="12">
                  <c:v>1819880</c:v>
                </c:pt>
                <c:pt idx="13">
                  <c:v>1208819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2-4347-B2D9-4488E59E4564}"/>
            </c:ext>
          </c:extLst>
        </c:ser>
        <c:ser>
          <c:idx val="1"/>
          <c:order val="1"/>
          <c:tx>
            <c:strRef>
              <c:f>'الكلفه  للسنوات'!$C$31</c:f>
              <c:strCache>
                <c:ptCount val="1"/>
                <c:pt idx="0">
                  <c:v>قيمة المواد الانشائية</c:v>
                </c:pt>
              </c:strCache>
            </c:strRef>
          </c:tx>
          <c:marker>
            <c:symbol val="none"/>
          </c:marker>
          <c:cat>
            <c:numRef>
              <c:f>'الكلفه  للسنوات'!$A$32:$A$45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'الكلفه  للسنوات'!$C$32:$C$45</c:f>
              <c:numCache>
                <c:formatCode>General</c:formatCode>
                <c:ptCount val="14"/>
                <c:pt idx="0">
                  <c:v>1583820</c:v>
                </c:pt>
                <c:pt idx="1">
                  <c:v>3622022</c:v>
                </c:pt>
                <c:pt idx="2">
                  <c:v>6603278</c:v>
                </c:pt>
                <c:pt idx="3">
                  <c:v>2873631</c:v>
                </c:pt>
                <c:pt idx="4">
                  <c:v>1231567</c:v>
                </c:pt>
                <c:pt idx="5">
                  <c:v>1297872</c:v>
                </c:pt>
                <c:pt idx="6">
                  <c:v>819485</c:v>
                </c:pt>
                <c:pt idx="7">
                  <c:v>901626</c:v>
                </c:pt>
                <c:pt idx="8">
                  <c:v>556023</c:v>
                </c:pt>
                <c:pt idx="9">
                  <c:v>403887</c:v>
                </c:pt>
                <c:pt idx="10">
                  <c:v>914312</c:v>
                </c:pt>
                <c:pt idx="11">
                  <c:v>1045260</c:v>
                </c:pt>
                <c:pt idx="12">
                  <c:v>868272</c:v>
                </c:pt>
                <c:pt idx="13">
                  <c:v>597189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2-4347-B2D9-4488E59E4564}"/>
            </c:ext>
          </c:extLst>
        </c:ser>
        <c:ser>
          <c:idx val="2"/>
          <c:order val="2"/>
          <c:tx>
            <c:strRef>
              <c:f>'الكلفه  للسنوات'!$D$31</c:f>
              <c:strCache>
                <c:ptCount val="1"/>
                <c:pt idx="0">
                  <c:v>اجور العاملين</c:v>
                </c:pt>
              </c:strCache>
            </c:strRef>
          </c:tx>
          <c:marker>
            <c:symbol val="none"/>
          </c:marker>
          <c:cat>
            <c:numRef>
              <c:f>'الكلفه  للسنوات'!$A$32:$A$45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'الكلفه  للسنوات'!$D$32:$D$45</c:f>
              <c:numCache>
                <c:formatCode>General</c:formatCode>
                <c:ptCount val="14"/>
                <c:pt idx="0">
                  <c:v>566675</c:v>
                </c:pt>
                <c:pt idx="1">
                  <c:v>661140</c:v>
                </c:pt>
                <c:pt idx="2">
                  <c:v>555092</c:v>
                </c:pt>
                <c:pt idx="3">
                  <c:v>446471</c:v>
                </c:pt>
                <c:pt idx="4">
                  <c:v>700793</c:v>
                </c:pt>
                <c:pt idx="5">
                  <c:v>659555</c:v>
                </c:pt>
                <c:pt idx="6">
                  <c:v>659555</c:v>
                </c:pt>
                <c:pt idx="7">
                  <c:v>496515</c:v>
                </c:pt>
                <c:pt idx="8">
                  <c:v>606196</c:v>
                </c:pt>
                <c:pt idx="9">
                  <c:v>545304</c:v>
                </c:pt>
                <c:pt idx="10">
                  <c:v>937866</c:v>
                </c:pt>
                <c:pt idx="11">
                  <c:v>1028572</c:v>
                </c:pt>
                <c:pt idx="12">
                  <c:v>951608</c:v>
                </c:pt>
                <c:pt idx="13">
                  <c:v>611630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2-4347-B2D9-4488E59E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055552"/>
        <c:axId val="254057088"/>
      </c:lineChart>
      <c:catAx>
        <c:axId val="2540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54057088"/>
        <c:crosses val="autoZero"/>
        <c:auto val="1"/>
        <c:lblAlgn val="ctr"/>
        <c:lblOffset val="100"/>
        <c:noMultiLvlLbl val="0"/>
      </c:catAx>
      <c:valAx>
        <c:axId val="254057088"/>
        <c:scaling>
          <c:orientation val="minMax"/>
        </c:scaling>
        <c:delete val="0"/>
        <c:axPos val="l"/>
        <c:majorGridlines/>
        <c:numFmt formatCode="#,##0;[Red]#,##0" sourceLinked="0"/>
        <c:majorTickMark val="none"/>
        <c:minorTickMark val="none"/>
        <c:tickLblPos val="nextTo"/>
        <c:crossAx val="25405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 lang="en-US"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0"/>
              <a:t>شكل </a:t>
            </a:r>
            <a:r>
              <a:rPr lang="en-US" sz="1400" b="0"/>
              <a:t>(2)</a:t>
            </a:r>
            <a:r>
              <a:rPr lang="ar-IQ" sz="1400" b="0"/>
              <a:t>
المؤشرات الرئيسة لتقديرات ابنية القطاع الخاص حسب نوع البناء لسنة </a:t>
            </a:r>
            <a:r>
              <a:rPr lang="en-US" sz="1400" b="0"/>
              <a:t>2024</a:t>
            </a:r>
            <a:endParaRPr lang="ar-IQ" sz="1400" b="0"/>
          </a:p>
        </c:rich>
      </c:tx>
      <c:layout>
        <c:manualLayout>
          <c:xMode val="edge"/>
          <c:yMode val="edge"/>
          <c:x val="0.19330881037639824"/>
          <c:y val="2.84757118927973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62446588374405E-2"/>
          <c:y val="0.19821068662713456"/>
          <c:w val="0.90526899154670515"/>
          <c:h val="0.60655212079971488"/>
        </c:manualLayout>
      </c:layout>
      <c:bar3DChart>
        <c:barDir val="col"/>
        <c:grouping val="clustered"/>
        <c:varyColors val="0"/>
        <c:ser>
          <c:idx val="0"/>
          <c:order val="0"/>
          <c:tx>
            <c:v>جديد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(مؤشرات!$A$9:$A$14,مؤشرات!$B$9:$B$14,مؤشرات!$E$9:$E$14)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11,628</c:v>
                </c:pt>
                <c:pt idx="7">
                  <c:v>14</c:v>
                </c:pt>
                <c:pt idx="8">
                  <c:v>448</c:v>
                </c:pt>
                <c:pt idx="9">
                  <c:v>14</c:v>
                </c:pt>
                <c:pt idx="10">
                  <c:v>41</c:v>
                </c:pt>
                <c:pt idx="11">
                  <c:v>36</c:v>
                </c:pt>
                <c:pt idx="12">
                  <c:v>2,906</c:v>
                </c:pt>
                <c:pt idx="13">
                  <c:v>0</c:v>
                </c:pt>
                <c:pt idx="14">
                  <c:v>13</c:v>
                </c:pt>
                <c:pt idx="15">
                  <c:v>1</c:v>
                </c:pt>
                <c:pt idx="16">
                  <c:v>9</c:v>
                </c:pt>
                <c:pt idx="17">
                  <c:v>3</c:v>
                </c:pt>
              </c:strCache>
            </c:strRef>
          </c:cat>
          <c:val>
            <c:numRef>
              <c:f>مؤشرات!$B$9:$B$14</c:f>
              <c:numCache>
                <c:formatCode>#,##0</c:formatCode>
                <c:ptCount val="6"/>
                <c:pt idx="0">
                  <c:v>11628</c:v>
                </c:pt>
                <c:pt idx="1">
                  <c:v>14</c:v>
                </c:pt>
                <c:pt idx="2">
                  <c:v>448</c:v>
                </c:pt>
                <c:pt idx="3">
                  <c:v>14</c:v>
                </c:pt>
                <c:pt idx="4">
                  <c:v>41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2-4AF7-8104-A008B4429D3D}"/>
            </c:ext>
          </c:extLst>
        </c:ser>
        <c:ser>
          <c:idx val="1"/>
          <c:order val="1"/>
          <c:tx>
            <c:v>اضافة</c:v>
          </c:tx>
          <c:spPr>
            <a:solidFill>
              <a:srgbClr val="92D050"/>
            </a:solidFill>
            <a:ln w="12700">
              <a:solidFill>
                <a:srgbClr val="0033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C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562-4AF7-8104-A008B4429D3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(مؤشرات!$A$9:$A$14,مؤشرات!$B$9:$B$14,مؤشرات!$E$9:$E$14)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11,628</c:v>
                </c:pt>
                <c:pt idx="7">
                  <c:v>14</c:v>
                </c:pt>
                <c:pt idx="8">
                  <c:v>448</c:v>
                </c:pt>
                <c:pt idx="9">
                  <c:v>14</c:v>
                </c:pt>
                <c:pt idx="10">
                  <c:v>41</c:v>
                </c:pt>
                <c:pt idx="11">
                  <c:v>36</c:v>
                </c:pt>
                <c:pt idx="12">
                  <c:v>2,906</c:v>
                </c:pt>
                <c:pt idx="13">
                  <c:v>0</c:v>
                </c:pt>
                <c:pt idx="14">
                  <c:v>13</c:v>
                </c:pt>
                <c:pt idx="15">
                  <c:v>1</c:v>
                </c:pt>
                <c:pt idx="16">
                  <c:v>9</c:v>
                </c:pt>
                <c:pt idx="17">
                  <c:v>3</c:v>
                </c:pt>
              </c:strCache>
            </c:strRef>
          </c:cat>
          <c:val>
            <c:numRef>
              <c:f>مؤشرات!$E$9:$E$14</c:f>
              <c:numCache>
                <c:formatCode>#,##0</c:formatCode>
                <c:ptCount val="6"/>
                <c:pt idx="0">
                  <c:v>2906</c:v>
                </c:pt>
                <c:pt idx="1">
                  <c:v>0</c:v>
                </c:pt>
                <c:pt idx="2">
                  <c:v>13</c:v>
                </c:pt>
                <c:pt idx="3">
                  <c:v>1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62-4AF7-8104-A008B4429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255383808"/>
        <c:axId val="255385984"/>
        <c:axId val="0"/>
      </c:bar3DChart>
      <c:catAx>
        <c:axId val="25538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نوع البناء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6138674645191537"/>
              <c:y val="0.79622873529697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385984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lang="en-US"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 b="0"/>
                  <a:t>العدد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11537556099002982"/>
              <c:y val="0.14610754674184248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383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667735616210599"/>
          <c:y val="0.29053901005737115"/>
          <c:w val="6.5621535905516684E-2"/>
          <c:h val="0.1005090119887581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en-US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&amp;C11</c:oddFooter>
    </c:headerFooter>
    <c:pageMargins b="1" l="0.75000000000001565" r="0.75000000000001565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1"/>
              <a:t> (3)</a:t>
            </a:r>
            <a:r>
              <a:rPr lang="ar-IQ" b="1"/>
              <a:t>شكل </a:t>
            </a:r>
            <a:endParaRPr lang="en-US" b="1"/>
          </a:p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1"/>
              <a:t>2024</a:t>
            </a:r>
            <a:r>
              <a:rPr lang="ar-IQ" b="1"/>
              <a:t> </a:t>
            </a:r>
            <a:r>
              <a:rPr lang="en-US" b="1"/>
              <a:t> </a:t>
            </a:r>
            <a:r>
              <a:rPr lang="ar-IQ" b="1"/>
              <a:t>معدل عدد العاملين في المحافظات لسنة</a:t>
            </a:r>
          </a:p>
        </c:rich>
      </c:tx>
      <c:layout>
        <c:manualLayout>
          <c:xMode val="edge"/>
          <c:yMode val="edge"/>
          <c:x val="0.35066505441354279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44312143908834E-2"/>
          <c:y val="0.18256422766431302"/>
          <c:w val="0.86828410473081119"/>
          <c:h val="0.632642064320273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العاملين!$F$4</c:f>
              <c:strCache>
                <c:ptCount val="1"/>
                <c:pt idx="0">
                  <c:v>عمال ماهرين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العاملين!$A$8:$A$22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 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العاملين!$F$8:$F$22</c:f>
              <c:numCache>
                <c:formatCode>#,##0</c:formatCode>
                <c:ptCount val="15"/>
                <c:pt idx="0">
                  <c:v>69</c:v>
                </c:pt>
                <c:pt idx="1">
                  <c:v>156</c:v>
                </c:pt>
                <c:pt idx="2">
                  <c:v>304</c:v>
                </c:pt>
                <c:pt idx="3">
                  <c:v>157</c:v>
                </c:pt>
                <c:pt idx="4">
                  <c:v>1525</c:v>
                </c:pt>
                <c:pt idx="5">
                  <c:v>150</c:v>
                </c:pt>
                <c:pt idx="6">
                  <c:v>303</c:v>
                </c:pt>
                <c:pt idx="7">
                  <c:v>189</c:v>
                </c:pt>
                <c:pt idx="8">
                  <c:v>62</c:v>
                </c:pt>
                <c:pt idx="9">
                  <c:v>312</c:v>
                </c:pt>
                <c:pt idx="10">
                  <c:v>159</c:v>
                </c:pt>
                <c:pt idx="11">
                  <c:v>170</c:v>
                </c:pt>
                <c:pt idx="12">
                  <c:v>208</c:v>
                </c:pt>
                <c:pt idx="13">
                  <c:v>73</c:v>
                </c:pt>
                <c:pt idx="14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E-460E-B24B-110E147D6D5D}"/>
            </c:ext>
          </c:extLst>
        </c:ser>
        <c:ser>
          <c:idx val="0"/>
          <c:order val="1"/>
          <c:tx>
            <c:strRef>
              <c:f>العاملين!$D$4</c:f>
              <c:strCache>
                <c:ptCount val="1"/>
                <c:pt idx="0">
                  <c:v>عمال شبه ماهرين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العاملين!$D$8:$D$22</c:f>
              <c:numCache>
                <c:formatCode>#,##0</c:formatCode>
                <c:ptCount val="15"/>
                <c:pt idx="0">
                  <c:v>193</c:v>
                </c:pt>
                <c:pt idx="1">
                  <c:v>64</c:v>
                </c:pt>
                <c:pt idx="2">
                  <c:v>216</c:v>
                </c:pt>
                <c:pt idx="3">
                  <c:v>91</c:v>
                </c:pt>
                <c:pt idx="4">
                  <c:v>943</c:v>
                </c:pt>
                <c:pt idx="5">
                  <c:v>91</c:v>
                </c:pt>
                <c:pt idx="6">
                  <c:v>76</c:v>
                </c:pt>
                <c:pt idx="7">
                  <c:v>255</c:v>
                </c:pt>
                <c:pt idx="8">
                  <c:v>54</c:v>
                </c:pt>
                <c:pt idx="9">
                  <c:v>715</c:v>
                </c:pt>
                <c:pt idx="10">
                  <c:v>60</c:v>
                </c:pt>
                <c:pt idx="11">
                  <c:v>60</c:v>
                </c:pt>
                <c:pt idx="12">
                  <c:v>38</c:v>
                </c:pt>
                <c:pt idx="13">
                  <c:v>6</c:v>
                </c:pt>
                <c:pt idx="1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E-460E-B24B-110E147D6D5D}"/>
            </c:ext>
          </c:extLst>
        </c:ser>
        <c:ser>
          <c:idx val="2"/>
          <c:order val="2"/>
          <c:tx>
            <c:strRef>
              <c:f>العاملين!$B$4</c:f>
              <c:strCache>
                <c:ptCount val="1"/>
                <c:pt idx="0">
                  <c:v>عمال غير ماهرين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AE-460E-B24B-110E147D6D5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العاملين!$B$8:$B$22</c:f>
              <c:numCache>
                <c:formatCode>#,##0</c:formatCode>
                <c:ptCount val="15"/>
                <c:pt idx="0">
                  <c:v>430</c:v>
                </c:pt>
                <c:pt idx="1">
                  <c:v>1086</c:v>
                </c:pt>
                <c:pt idx="2">
                  <c:v>2378</c:v>
                </c:pt>
                <c:pt idx="3">
                  <c:v>1071</c:v>
                </c:pt>
                <c:pt idx="4">
                  <c:v>12038</c:v>
                </c:pt>
                <c:pt idx="5">
                  <c:v>1275</c:v>
                </c:pt>
                <c:pt idx="6">
                  <c:v>2307</c:v>
                </c:pt>
                <c:pt idx="7">
                  <c:v>1374</c:v>
                </c:pt>
                <c:pt idx="8">
                  <c:v>478</c:v>
                </c:pt>
                <c:pt idx="9">
                  <c:v>2290</c:v>
                </c:pt>
                <c:pt idx="10">
                  <c:v>1211</c:v>
                </c:pt>
                <c:pt idx="11">
                  <c:v>1434</c:v>
                </c:pt>
                <c:pt idx="12">
                  <c:v>1452</c:v>
                </c:pt>
                <c:pt idx="13">
                  <c:v>473</c:v>
                </c:pt>
                <c:pt idx="14">
                  <c:v>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AE-460E-B24B-110E147D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98464"/>
        <c:axId val="256400000"/>
      </c:barChart>
      <c:catAx>
        <c:axId val="2563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90000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40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64000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3984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136296414722545"/>
          <c:y val="0.35449725259162729"/>
          <c:w val="0.10846625009535311"/>
          <c:h val="0.11461398508186527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&amp;C24</c:oddFooter>
    </c:headerFooter>
    <c:pageMargins b="0.98425196850393659" l="0.94488188976377963" r="0.70866141732283616" t="0.98425196850393659" header="0.51181102362204722" footer="0.51181102362204722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/>
              <a:t> (4)</a:t>
            </a:r>
            <a:r>
              <a:rPr lang="ar-IQ" sz="1400" b="1"/>
              <a:t>شكل </a:t>
            </a:r>
          </a:p>
          <a:p>
            <a:pPr algn="ctr" rtl="0">
              <a:defRPr/>
            </a:pPr>
            <a:r>
              <a:rPr lang="en-US" sz="1400" b="1"/>
              <a:t>2024</a:t>
            </a:r>
            <a:r>
              <a:rPr lang="ar-IQ" sz="1400" b="1"/>
              <a:t>كمية المواد الانشائية المستخدمة لمادة ( الطابوق والبلوك</a:t>
            </a:r>
            <a:r>
              <a:rPr lang="ar-IQ" sz="1400" b="1" baseline="0"/>
              <a:t> ) </a:t>
            </a:r>
            <a:r>
              <a:rPr lang="ar-IQ" sz="1400" b="1"/>
              <a:t>حسب المحافظات لسنة  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89102310402819E-2"/>
          <c:y val="0.14727779181248532"/>
          <c:w val="0.90151327695801431"/>
          <c:h val="0.67392793481928503"/>
        </c:manualLayout>
      </c:layout>
      <c:barChart>
        <c:barDir val="col"/>
        <c:grouping val="clustered"/>
        <c:varyColors val="0"/>
        <c:ser>
          <c:idx val="0"/>
          <c:order val="0"/>
          <c:tx>
            <c:v>طابوق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طابوق!$A$9:$A$23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 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طابوق!$H$9:$H$23</c:f>
              <c:numCache>
                <c:formatCode>#,##0</c:formatCode>
                <c:ptCount val="15"/>
                <c:pt idx="0">
                  <c:v>3405</c:v>
                </c:pt>
                <c:pt idx="1">
                  <c:v>0</c:v>
                </c:pt>
                <c:pt idx="2">
                  <c:v>46524</c:v>
                </c:pt>
                <c:pt idx="3">
                  <c:v>24603</c:v>
                </c:pt>
                <c:pt idx="4">
                  <c:v>50598</c:v>
                </c:pt>
                <c:pt idx="5">
                  <c:v>55055</c:v>
                </c:pt>
                <c:pt idx="6">
                  <c:v>51909</c:v>
                </c:pt>
                <c:pt idx="7">
                  <c:v>41442</c:v>
                </c:pt>
                <c:pt idx="8">
                  <c:v>21523</c:v>
                </c:pt>
                <c:pt idx="9">
                  <c:v>64953</c:v>
                </c:pt>
                <c:pt idx="10">
                  <c:v>61121</c:v>
                </c:pt>
                <c:pt idx="11">
                  <c:v>23835</c:v>
                </c:pt>
                <c:pt idx="12">
                  <c:v>110611</c:v>
                </c:pt>
                <c:pt idx="13">
                  <c:v>22737</c:v>
                </c:pt>
                <c:pt idx="14">
                  <c:v>69291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7-41C1-97C1-0A2DA02E6D46}"/>
            </c:ext>
          </c:extLst>
        </c:ser>
        <c:ser>
          <c:idx val="1"/>
          <c:order val="1"/>
          <c:tx>
            <c:v>بلوك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طابوق!$A$9:$A$23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 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بلوك!$H$9:$H$23</c:f>
              <c:numCache>
                <c:formatCode>#,##0</c:formatCode>
                <c:ptCount val="15"/>
                <c:pt idx="0">
                  <c:v>2036</c:v>
                </c:pt>
                <c:pt idx="1">
                  <c:v>2912</c:v>
                </c:pt>
                <c:pt idx="2">
                  <c:v>4187</c:v>
                </c:pt>
                <c:pt idx="3">
                  <c:v>1518</c:v>
                </c:pt>
                <c:pt idx="4">
                  <c:v>6135</c:v>
                </c:pt>
                <c:pt idx="5">
                  <c:v>3781</c:v>
                </c:pt>
                <c:pt idx="6">
                  <c:v>7348</c:v>
                </c:pt>
                <c:pt idx="7">
                  <c:v>2524</c:v>
                </c:pt>
                <c:pt idx="8">
                  <c:v>3946</c:v>
                </c:pt>
                <c:pt idx="9">
                  <c:v>16053</c:v>
                </c:pt>
                <c:pt idx="10">
                  <c:v>314</c:v>
                </c:pt>
                <c:pt idx="11">
                  <c:v>724</c:v>
                </c:pt>
                <c:pt idx="12">
                  <c:v>19295</c:v>
                </c:pt>
                <c:pt idx="13">
                  <c:v>600</c:v>
                </c:pt>
                <c:pt idx="14">
                  <c:v>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67-41C1-97C1-0A2DA02E6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162312"/>
        <c:axId val="470163952"/>
      </c:barChart>
      <c:catAx>
        <c:axId val="47016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63952"/>
        <c:crosses val="autoZero"/>
        <c:auto val="1"/>
        <c:lblAlgn val="ctr"/>
        <c:lblOffset val="100"/>
        <c:noMultiLvlLbl val="0"/>
      </c:catAx>
      <c:valAx>
        <c:axId val="47016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IQ" sz="1200" b="1"/>
                  <a:t>العدد 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2.6206169371386964E-2"/>
              <c:y val="7.1547279722855836E-2"/>
            </c:manualLayout>
          </c:layout>
          <c:overlay val="0"/>
          <c:spPr>
            <a:noFill/>
            <a:ln cmpd="sng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62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672531682967915"/>
          <c:y val="0.22587235031101113"/>
          <c:w val="7.0445254109162511E-2"/>
          <c:h val="0.12111800953334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lang="en-US" sz="1400" b="0"/>
            </a:pPr>
            <a:r>
              <a:rPr lang="en-US" sz="1400" b="0"/>
              <a:t>(5)</a:t>
            </a:r>
            <a:r>
              <a:rPr lang="ar-IQ" sz="1400" b="0"/>
              <a:t>شكل 
</a:t>
            </a:r>
            <a:r>
              <a:rPr lang="en-US" sz="1400" b="0"/>
              <a:t> 2024</a:t>
            </a:r>
            <a:r>
              <a:rPr lang="ar-IQ" sz="1400" b="0"/>
              <a:t>كمية المواد المستخدمة في البناء لمادة ( الحجر</a:t>
            </a:r>
            <a:r>
              <a:rPr lang="ar-IQ" sz="1400" b="0" baseline="0"/>
              <a:t> والحصى )</a:t>
            </a:r>
            <a:r>
              <a:rPr lang="ar-IQ" sz="1400" b="0"/>
              <a:t> حسب المحافظات لسنة </a:t>
            </a:r>
          </a:p>
        </c:rich>
      </c:tx>
      <c:layout>
        <c:manualLayout>
          <c:xMode val="edge"/>
          <c:yMode val="edge"/>
          <c:x val="0.2067576009620323"/>
          <c:y val="4.1741408829920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62428148644094"/>
          <c:y val="0.17307691960191718"/>
          <c:w val="0.76871794878644673"/>
          <c:h val="0.63811188811190001"/>
        </c:manualLayout>
      </c:layout>
      <c:barChart>
        <c:barDir val="col"/>
        <c:grouping val="clustered"/>
        <c:varyColors val="0"/>
        <c:ser>
          <c:idx val="0"/>
          <c:order val="0"/>
          <c:tx>
            <c:v>حجر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حصى!$A$9:$A$23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حجر!$F$10:$F$13</c:f>
              <c:numCache>
                <c:formatCode>#,##0</c:formatCode>
                <c:ptCount val="4"/>
                <c:pt idx="0">
                  <c:v>0</c:v>
                </c:pt>
                <c:pt idx="1">
                  <c:v>30754</c:v>
                </c:pt>
                <c:pt idx="2">
                  <c:v>21187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8-4920-9584-C63D77F58982}"/>
            </c:ext>
          </c:extLst>
        </c:ser>
        <c:ser>
          <c:idx val="1"/>
          <c:order val="1"/>
          <c:tx>
            <c:strRef>
              <c:f>حصى!$C$4</c:f>
              <c:strCache>
                <c:ptCount val="1"/>
                <c:pt idx="0">
                  <c:v>حصى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حصى!$A$9:$A$23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حصى!$F$9:$F$23</c:f>
              <c:numCache>
                <c:formatCode>#,##0</c:formatCode>
                <c:ptCount val="15"/>
                <c:pt idx="0">
                  <c:v>40965</c:v>
                </c:pt>
                <c:pt idx="1">
                  <c:v>47191</c:v>
                </c:pt>
                <c:pt idx="2">
                  <c:v>102798</c:v>
                </c:pt>
                <c:pt idx="3">
                  <c:v>104132</c:v>
                </c:pt>
                <c:pt idx="4">
                  <c:v>449109</c:v>
                </c:pt>
                <c:pt idx="5">
                  <c:v>66612</c:v>
                </c:pt>
                <c:pt idx="6">
                  <c:v>101038</c:v>
                </c:pt>
                <c:pt idx="7">
                  <c:v>71616</c:v>
                </c:pt>
                <c:pt idx="8">
                  <c:v>27520</c:v>
                </c:pt>
                <c:pt idx="9">
                  <c:v>126009</c:v>
                </c:pt>
                <c:pt idx="10">
                  <c:v>68027</c:v>
                </c:pt>
                <c:pt idx="11">
                  <c:v>43769</c:v>
                </c:pt>
                <c:pt idx="12">
                  <c:v>44369</c:v>
                </c:pt>
                <c:pt idx="13">
                  <c:v>23875</c:v>
                </c:pt>
                <c:pt idx="14">
                  <c:v>109747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8-4920-9584-C63D77F58982}"/>
            </c:ext>
          </c:extLst>
        </c:ser>
        <c:ser>
          <c:idx val="2"/>
          <c:order val="2"/>
          <c:tx>
            <c:strRef>
              <c:f>رمل!$C$4</c:f>
              <c:strCache>
                <c:ptCount val="1"/>
                <c:pt idx="0">
                  <c:v> رمل</c:v>
                </c:pt>
              </c:strCache>
            </c:strRef>
          </c:tx>
          <c:invertIfNegative val="0"/>
          <c:cat>
            <c:strRef>
              <c:f>حصى!$A$9:$A$23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رمل!$F$9:$F$23</c:f>
              <c:numCache>
                <c:formatCode>#,##0</c:formatCode>
                <c:ptCount val="15"/>
                <c:pt idx="0">
                  <c:v>44</c:v>
                </c:pt>
                <c:pt idx="1">
                  <c:v>0</c:v>
                </c:pt>
                <c:pt idx="2">
                  <c:v>126</c:v>
                </c:pt>
                <c:pt idx="3">
                  <c:v>45</c:v>
                </c:pt>
                <c:pt idx="4">
                  <c:v>1164</c:v>
                </c:pt>
                <c:pt idx="5">
                  <c:v>125</c:v>
                </c:pt>
                <c:pt idx="6">
                  <c:v>102</c:v>
                </c:pt>
                <c:pt idx="7">
                  <c:v>105</c:v>
                </c:pt>
                <c:pt idx="8">
                  <c:v>17</c:v>
                </c:pt>
                <c:pt idx="9">
                  <c:v>203</c:v>
                </c:pt>
                <c:pt idx="10">
                  <c:v>228</c:v>
                </c:pt>
                <c:pt idx="11">
                  <c:v>140</c:v>
                </c:pt>
                <c:pt idx="12">
                  <c:v>301</c:v>
                </c:pt>
                <c:pt idx="13">
                  <c:v>26</c:v>
                </c:pt>
                <c:pt idx="14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8-4920-9584-C63D77F58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568320"/>
        <c:axId val="256705664"/>
      </c:barChart>
      <c:catAx>
        <c:axId val="25656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93012443080357288"/>
              <c:y val="0.821338356801785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340000" vert="horz"/>
          <a:lstStyle/>
          <a:p>
            <a:pPr>
              <a:defRPr lang="en-US"/>
            </a:pPr>
            <a:endParaRPr lang="en-US"/>
          </a:p>
        </c:txPr>
        <c:crossAx val="25670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67056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العدد</a:t>
                </a:r>
              </a:p>
            </c:rich>
          </c:tx>
          <c:layout>
            <c:manualLayout>
              <c:xMode val="edge"/>
              <c:yMode val="edge"/>
              <c:x val="9.4826348804487703E-2"/>
              <c:y val="0.1042820598014080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56568320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3886942176508383"/>
          <c:y val="0.4277389277389278"/>
          <c:w val="5.7097906252179524E-2"/>
          <c:h val="0.13046835054710093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>
      <c:oddFooter>&amp;C31</c:oddFooter>
    </c:headerFooter>
    <c:pageMargins b="1" l="0.75000000000000844" r="1.49" t="1" header="0.5" footer="0.5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lang="en-US" sz="1400" b="0"/>
            </a:pPr>
            <a:r>
              <a:rPr lang="en-US" sz="1400" b="0"/>
              <a:t> (6) </a:t>
            </a:r>
            <a:r>
              <a:rPr lang="ar-IQ" sz="1400" b="0"/>
              <a:t>شكل 
 </a:t>
            </a:r>
            <a:r>
              <a:rPr lang="en-US" sz="1400" b="0"/>
              <a:t>2024</a:t>
            </a:r>
            <a:r>
              <a:rPr lang="ar-IQ" sz="1400" b="0"/>
              <a:t>كمية المواد الانشائية المستخدمة لمادة (</a:t>
            </a:r>
            <a:r>
              <a:rPr lang="ar-IQ" sz="1400" b="0" baseline="0"/>
              <a:t> الجص والسمنت )</a:t>
            </a:r>
            <a:r>
              <a:rPr lang="ar-IQ" sz="1400" b="0"/>
              <a:t>حسب المحافظات لسنة</a:t>
            </a:r>
            <a:r>
              <a:rPr lang="en-US" sz="1400" b="0"/>
              <a:t> </a:t>
            </a:r>
            <a:r>
              <a:rPr lang="ar-IQ" sz="1400" b="0" baseline="0"/>
              <a:t> </a:t>
            </a:r>
            <a:endParaRPr lang="ar-IQ" sz="1400" b="0"/>
          </a:p>
        </c:rich>
      </c:tx>
      <c:layout>
        <c:manualLayout>
          <c:xMode val="edge"/>
          <c:yMode val="edge"/>
          <c:x val="0.19939837127644824"/>
          <c:y val="3.2564939534842408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18536181686"/>
          <c:y val="0.12706291103114531"/>
          <c:w val="0.85490837513617701"/>
          <c:h val="0.65977110729179433"/>
        </c:manualLayout>
      </c:layout>
      <c:bar3DChart>
        <c:barDir val="col"/>
        <c:grouping val="clustered"/>
        <c:varyColors val="0"/>
        <c:ser>
          <c:idx val="0"/>
          <c:order val="0"/>
          <c:tx>
            <c:v>جص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جص!$A$9:$A$23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جص!$F$9:$F$23</c:f>
              <c:numCache>
                <c:formatCode>#,##0</c:formatCode>
                <c:ptCount val="15"/>
                <c:pt idx="0">
                  <c:v>6726</c:v>
                </c:pt>
                <c:pt idx="1">
                  <c:v>32106</c:v>
                </c:pt>
                <c:pt idx="2">
                  <c:v>32845</c:v>
                </c:pt>
                <c:pt idx="3">
                  <c:v>19101</c:v>
                </c:pt>
                <c:pt idx="4">
                  <c:v>220324</c:v>
                </c:pt>
                <c:pt idx="5">
                  <c:v>1252</c:v>
                </c:pt>
                <c:pt idx="6">
                  <c:v>25794</c:v>
                </c:pt>
                <c:pt idx="7">
                  <c:v>12510</c:v>
                </c:pt>
                <c:pt idx="8">
                  <c:v>7486</c:v>
                </c:pt>
                <c:pt idx="9">
                  <c:v>24202</c:v>
                </c:pt>
                <c:pt idx="10">
                  <c:v>14324</c:v>
                </c:pt>
                <c:pt idx="11">
                  <c:v>8839</c:v>
                </c:pt>
                <c:pt idx="12">
                  <c:v>15997</c:v>
                </c:pt>
                <c:pt idx="13">
                  <c:v>5379</c:v>
                </c:pt>
                <c:pt idx="14">
                  <c:v>37559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C-4FD5-8EBB-389EAEED8BE0}"/>
            </c:ext>
          </c:extLst>
        </c:ser>
        <c:ser>
          <c:idx val="1"/>
          <c:order val="1"/>
          <c:tx>
            <c:v>سمنت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سمنت!$H$9:$H$23</c:f>
              <c:numCache>
                <c:formatCode>#,##0</c:formatCode>
                <c:ptCount val="15"/>
                <c:pt idx="0" formatCode="_(* #,##0_);_(* \(#,##0\);_(* &quot;-&quot;??_);_(@_)">
                  <c:v>20207</c:v>
                </c:pt>
                <c:pt idx="1">
                  <c:v>30111</c:v>
                </c:pt>
                <c:pt idx="2" formatCode="_(* #,##0_);_(* \(#,##0\);_(* &quot;-&quot;??_);_(@_)">
                  <c:v>45213</c:v>
                </c:pt>
                <c:pt idx="3">
                  <c:v>29329</c:v>
                </c:pt>
                <c:pt idx="4" formatCode="_(* #,##0_);_(* \(#,##0\);_(* &quot;-&quot;??_);_(@_)">
                  <c:v>277477</c:v>
                </c:pt>
                <c:pt idx="5">
                  <c:v>40838</c:v>
                </c:pt>
                <c:pt idx="6" formatCode="_(* #,##0_);_(* \(#,##0\);_(* &quot;-&quot;??_);_(@_)">
                  <c:v>56334</c:v>
                </c:pt>
                <c:pt idx="7">
                  <c:v>41562</c:v>
                </c:pt>
                <c:pt idx="8" formatCode="_(* #,##0_);_(* \(#,##0\);_(* &quot;-&quot;??_);_(@_)">
                  <c:v>10083</c:v>
                </c:pt>
                <c:pt idx="9">
                  <c:v>66919</c:v>
                </c:pt>
                <c:pt idx="10" formatCode="_(* #,##0_);_(* \(#,##0\);_(* &quot;-&quot;??_);_(@_)">
                  <c:v>50603</c:v>
                </c:pt>
                <c:pt idx="11">
                  <c:v>35910</c:v>
                </c:pt>
                <c:pt idx="12" formatCode="_(* #,##0_);_(* \(#,##0\);_(* &quot;-&quot;??_);_(@_)">
                  <c:v>42045</c:v>
                </c:pt>
                <c:pt idx="13">
                  <c:v>32580</c:v>
                </c:pt>
                <c:pt idx="14" formatCode="_(* #,##0_);_(* \(#,##0\);_(* &quot;-&quot;??_);_(@_)">
                  <c:v>66589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C-4FD5-8EBB-389EAEED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746624"/>
        <c:axId val="256748160"/>
        <c:axId val="0"/>
      </c:bar3DChart>
      <c:catAx>
        <c:axId val="2567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560000" vert="horz"/>
          <a:lstStyle/>
          <a:p>
            <a:pPr>
              <a:defRPr lang="en-US"/>
            </a:pPr>
            <a:endParaRPr lang="en-US"/>
          </a:p>
        </c:txPr>
        <c:crossAx val="256748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67481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56746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55383984220658"/>
          <c:y val="0.45049577547406588"/>
          <c:w val="7.8989186079597845E-2"/>
          <c:h val="0.12047341798011379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Footer>&amp;C34</c:oddFooter>
    </c:headerFooter>
    <c:pageMargins b="1" l="0.42000000000000032" r="0.85000000000000064" t="1" header="0.5" footer="0.5"/>
    <c:pageSetup orientation="landscape" verticalDpi="12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lang="en-US" sz="1400" b="0"/>
            </a:pPr>
            <a:r>
              <a:rPr lang="en-US" sz="1400" b="0"/>
              <a:t>(7)</a:t>
            </a:r>
            <a:r>
              <a:rPr lang="ar-IQ" sz="1400" b="0"/>
              <a:t>شكل </a:t>
            </a:r>
            <a:r>
              <a:rPr lang="en-US" sz="1400" b="0"/>
              <a:t> </a:t>
            </a:r>
          </a:p>
          <a:p>
            <a:pPr rtl="0">
              <a:defRPr lang="en-US" sz="1400" b="0"/>
            </a:pPr>
            <a:r>
              <a:rPr lang="en-US" sz="1400" b="0"/>
              <a:t>2024 </a:t>
            </a:r>
            <a:r>
              <a:rPr lang="ar-IQ" sz="1400" b="0"/>
              <a:t>كمية المواد الانشائية المستخدمة في البناء لمادة ( الكاشي ) حسب المحافظات لسنة</a:t>
            </a:r>
          </a:p>
        </c:rich>
      </c:tx>
      <c:layout>
        <c:manualLayout>
          <c:xMode val="edge"/>
          <c:yMode val="edge"/>
          <c:x val="0.1872749099639856"/>
          <c:y val="2.7777777777780729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835472223430634E-2"/>
          <c:y val="0.16890721179195234"/>
          <c:w val="0.9358476328573031"/>
          <c:h val="0.701780430999611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كاشي!$C$4</c:f>
              <c:strCache>
                <c:ptCount val="1"/>
                <c:pt idx="0">
                  <c:v> بلاط الارضية     (كاشي)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كاشي!$A$9:$A$23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كاشي2!$H$9:$H$23</c:f>
              <c:numCache>
                <c:formatCode>#,##0</c:formatCode>
                <c:ptCount val="15"/>
                <c:pt idx="0">
                  <c:v>1210</c:v>
                </c:pt>
                <c:pt idx="1">
                  <c:v>1089</c:v>
                </c:pt>
                <c:pt idx="2">
                  <c:v>3426</c:v>
                </c:pt>
                <c:pt idx="3">
                  <c:v>1795</c:v>
                </c:pt>
                <c:pt idx="4">
                  <c:v>11902</c:v>
                </c:pt>
                <c:pt idx="5">
                  <c:v>2977</c:v>
                </c:pt>
                <c:pt idx="6">
                  <c:v>1752</c:v>
                </c:pt>
                <c:pt idx="7">
                  <c:v>3517</c:v>
                </c:pt>
                <c:pt idx="8">
                  <c:v>223</c:v>
                </c:pt>
                <c:pt idx="9">
                  <c:v>9002</c:v>
                </c:pt>
                <c:pt idx="10">
                  <c:v>3025</c:v>
                </c:pt>
                <c:pt idx="11">
                  <c:v>1435</c:v>
                </c:pt>
                <c:pt idx="12">
                  <c:v>2468</c:v>
                </c:pt>
                <c:pt idx="13">
                  <c:v>2054</c:v>
                </c:pt>
                <c:pt idx="14">
                  <c:v>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8-4F2E-9E42-4D1E8EC64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267392"/>
        <c:axId val="256268928"/>
        <c:axId val="0"/>
      </c:bar3DChart>
      <c:catAx>
        <c:axId val="2562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3600000" vert="horz"/>
          <a:lstStyle/>
          <a:p>
            <a:pPr>
              <a:defRPr lang="en-US"/>
            </a:pPr>
            <a:endParaRPr lang="en-US"/>
          </a:p>
        </c:txPr>
        <c:crossAx val="25626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268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5626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2389995372755"/>
          <c:y val="0.14755315061734386"/>
          <c:w val="0.20476342261659591"/>
          <c:h val="7.4535667633225347E-2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 alignWithMargins="0">
      <c:oddFooter>&amp;C37</c:oddFooter>
    </c:headerFooter>
    <c:pageMargins b="0.98425196850393659" l="0.23622047244094499" r="1.1417322834645698" t="0.98425196850393659" header="0.511811023622047" footer="0.511811023622047"/>
    <c:pageSetup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160497</xdr:rowOff>
    </xdr:from>
    <xdr:to>
      <xdr:col>6</xdr:col>
      <xdr:colOff>1428750</xdr:colOff>
      <xdr:row>51</xdr:row>
      <xdr:rowOff>85250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88901</xdr:colOff>
      <xdr:row>0</xdr:row>
      <xdr:rowOff>117475</xdr:rowOff>
    </xdr:from>
    <xdr:to>
      <xdr:col>13</xdr:col>
      <xdr:colOff>521607</xdr:colOff>
      <xdr:row>29</xdr:row>
      <xdr:rowOff>97064</xdr:rowOff>
    </xdr:to>
    <xdr:graphicFrame macro="">
      <xdr:nvGraphicFramePr>
        <xdr:cNvPr id="15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57151</xdr:rowOff>
    </xdr:from>
    <xdr:to>
      <xdr:col>13</xdr:col>
      <xdr:colOff>309244</xdr:colOff>
      <xdr:row>33</xdr:row>
      <xdr:rowOff>102871</xdr:rowOff>
    </xdr:to>
    <xdr:graphicFrame macro="">
      <xdr:nvGraphicFramePr>
        <xdr:cNvPr id="17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</xdr:rowOff>
    </xdr:from>
    <xdr:to>
      <xdr:col>1</xdr:col>
      <xdr:colOff>85725</xdr:colOff>
      <xdr:row>31</xdr:row>
      <xdr:rowOff>123825</xdr:rowOff>
    </xdr:to>
    <xdr:sp macro="" textlink="">
      <xdr:nvSpPr>
        <xdr:cNvPr id="2" name="TextBox 1"/>
        <xdr:cNvSpPr txBox="1"/>
      </xdr:nvSpPr>
      <xdr:spPr>
        <a:xfrm>
          <a:off x="9986952975" y="4876800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/>
            <a:t>المحافظة</a:t>
          </a:r>
          <a:endParaRPr lang="en-US" sz="1200" b="1"/>
        </a:p>
      </xdr:txBody>
    </xdr:sp>
    <xdr:clientData/>
  </xdr:twoCellAnchor>
  <xdr:twoCellAnchor>
    <xdr:from>
      <xdr:col>12</xdr:col>
      <xdr:colOff>152400</xdr:colOff>
      <xdr:row>6</xdr:row>
      <xdr:rowOff>66675</xdr:rowOff>
    </xdr:from>
    <xdr:to>
      <xdr:col>12</xdr:col>
      <xdr:colOff>628650</xdr:colOff>
      <xdr:row>8</xdr:row>
      <xdr:rowOff>9525</xdr:rowOff>
    </xdr:to>
    <xdr:sp macro="" textlink="">
      <xdr:nvSpPr>
        <xdr:cNvPr id="10" name="TextBox 9"/>
        <xdr:cNvSpPr txBox="1"/>
      </xdr:nvSpPr>
      <xdr:spPr>
        <a:xfrm>
          <a:off x="9979790175" y="1038225"/>
          <a:ext cx="476250" cy="2667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IQ" sz="12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العدد</a:t>
          </a:r>
          <a:endParaRPr kumimoji="0" lang="en-US" sz="1200" b="1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0.13028</cdr:x>
      <cdr:y>0.1222</cdr:y>
    </cdr:from>
    <cdr:to>
      <cdr:x>0.24296</cdr:x>
      <cdr:y>0.28744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57275" y="676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54430</xdr:rowOff>
    </xdr:from>
    <xdr:to>
      <xdr:col>13</xdr:col>
      <xdr:colOff>544287</xdr:colOff>
      <xdr:row>26</xdr:row>
      <xdr:rowOff>108857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68036</xdr:rowOff>
    </xdr:from>
    <xdr:to>
      <xdr:col>1</xdr:col>
      <xdr:colOff>205147</xdr:colOff>
      <xdr:row>26</xdr:row>
      <xdr:rowOff>9711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463496" y="3986893"/>
          <a:ext cx="695004" cy="2682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</xdr:colOff>
      <xdr:row>0</xdr:row>
      <xdr:rowOff>19049</xdr:rowOff>
    </xdr:from>
    <xdr:to>
      <xdr:col>15</xdr:col>
      <xdr:colOff>297180</xdr:colOff>
      <xdr:row>30</xdr:row>
      <xdr:rowOff>76200</xdr:rowOff>
    </xdr:to>
    <xdr:graphicFrame macro="">
      <xdr:nvGraphicFramePr>
        <xdr:cNvPr id="19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13</xdr:col>
      <xdr:colOff>129540</xdr:colOff>
      <xdr:row>30</xdr:row>
      <xdr:rowOff>15241</xdr:rowOff>
    </xdr:to>
    <xdr:graphicFrame macro="">
      <xdr:nvGraphicFramePr>
        <xdr:cNvPr id="20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547687</xdr:colOff>
      <xdr:row>1</xdr:row>
      <xdr:rowOff>95250</xdr:rowOff>
    </xdr:from>
    <xdr:to>
      <xdr:col>12</xdr:col>
      <xdr:colOff>28575</xdr:colOff>
      <xdr:row>3</xdr:row>
      <xdr:rowOff>28575</xdr:rowOff>
    </xdr:to>
    <xdr:sp macro="" textlink="">
      <xdr:nvSpPr>
        <xdr:cNvPr id="7" name="TextBox 6"/>
        <xdr:cNvSpPr txBox="1"/>
      </xdr:nvSpPr>
      <xdr:spPr>
        <a:xfrm>
          <a:off x="9941356800" y="261938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/>
            <a:t>الكمية</a:t>
          </a:r>
          <a:endParaRPr lang="en-US" sz="1200" b="1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0.83123</cdr:x>
      <cdr:y>0.80654</cdr:y>
    </cdr:from>
    <cdr:to>
      <cdr:x>0.91756</cdr:x>
      <cdr:y>0.86127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669245" y="4045510"/>
          <a:ext cx="692652" cy="274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200" b="1"/>
            <a:t>المحافظة</a:t>
          </a:r>
          <a:endParaRPr lang="en-US" sz="1200" b="1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57149</xdr:rowOff>
    </xdr:from>
    <xdr:to>
      <xdr:col>14</xdr:col>
      <xdr:colOff>400050</xdr:colOff>
      <xdr:row>30</xdr:row>
      <xdr:rowOff>107155</xdr:rowOff>
    </xdr:to>
    <xdr:graphicFrame macro="">
      <xdr:nvGraphicFramePr>
        <xdr:cNvPr id="215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119062</xdr:colOff>
      <xdr:row>27</xdr:row>
      <xdr:rowOff>-1</xdr:rowOff>
    </xdr:from>
    <xdr:to>
      <xdr:col>2</xdr:col>
      <xdr:colOff>207169</xdr:colOff>
      <xdr:row>28</xdr:row>
      <xdr:rowOff>100012</xdr:rowOff>
    </xdr:to>
    <xdr:sp macro="" textlink="">
      <xdr:nvSpPr>
        <xdr:cNvPr id="7" name="TextBox 6"/>
        <xdr:cNvSpPr txBox="1"/>
      </xdr:nvSpPr>
      <xdr:spPr>
        <a:xfrm>
          <a:off x="9947143238" y="4500562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/>
            <a:t>المحافظة</a:t>
          </a:r>
          <a:endParaRPr lang="en-US" sz="1200" b="1"/>
        </a:p>
      </xdr:txBody>
    </xdr:sp>
    <xdr:clientData/>
  </xdr:twoCellAnchor>
  <xdr:twoCellAnchor>
    <xdr:from>
      <xdr:col>12</xdr:col>
      <xdr:colOff>392906</xdr:colOff>
      <xdr:row>3</xdr:row>
      <xdr:rowOff>130968</xdr:rowOff>
    </xdr:from>
    <xdr:to>
      <xdr:col>13</xdr:col>
      <xdr:colOff>481013</xdr:colOff>
      <xdr:row>5</xdr:row>
      <xdr:rowOff>64293</xdr:rowOff>
    </xdr:to>
    <xdr:sp macro="" textlink="">
      <xdr:nvSpPr>
        <xdr:cNvPr id="8" name="TextBox 7"/>
        <xdr:cNvSpPr txBox="1"/>
      </xdr:nvSpPr>
      <xdr:spPr>
        <a:xfrm>
          <a:off x="9940297144" y="631031"/>
          <a:ext cx="6953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/>
            <a:t>الكمية</a:t>
          </a:r>
          <a:endParaRPr 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8"/>
  <sheetViews>
    <sheetView rightToLeft="1" tabSelected="1" showWhiteSpace="0" zoomScale="80" zoomScaleNormal="80" zoomScaleSheetLayoutView="100" workbookViewId="0">
      <selection activeCell="D17" sqref="D17"/>
    </sheetView>
  </sheetViews>
  <sheetFormatPr defaultRowHeight="12.75"/>
  <cols>
    <col min="1" max="1" width="13" customWidth="1"/>
    <col min="2" max="2" width="14.7109375" customWidth="1"/>
    <col min="3" max="3" width="18.140625" customWidth="1"/>
    <col min="4" max="4" width="16.7109375" customWidth="1"/>
    <col min="5" max="5" width="18.7109375" customWidth="1"/>
    <col min="6" max="6" width="19.28515625" customWidth="1"/>
    <col min="7" max="7" width="21.7109375" customWidth="1"/>
    <col min="8" max="8" width="9" customWidth="1"/>
    <col min="9" max="9" width="10.85546875" bestFit="1" customWidth="1"/>
    <col min="10" max="10" width="13" bestFit="1" customWidth="1"/>
    <col min="11" max="11" width="12" bestFit="1" customWidth="1"/>
  </cols>
  <sheetData>
    <row r="3" spans="1:11" ht="18.75" customHeight="1">
      <c r="A3" s="838" t="s">
        <v>410</v>
      </c>
      <c r="B3" s="838"/>
      <c r="C3" s="838"/>
      <c r="D3" s="838"/>
      <c r="E3" s="838"/>
      <c r="F3" s="838"/>
      <c r="G3" s="838"/>
    </row>
    <row r="4" spans="1:11" ht="15">
      <c r="A4" s="839" t="s">
        <v>381</v>
      </c>
      <c r="B4" s="839"/>
      <c r="C4" s="839"/>
      <c r="D4" s="839"/>
      <c r="E4" s="839"/>
      <c r="F4" s="839"/>
      <c r="G4" s="839"/>
    </row>
    <row r="5" spans="1:11" ht="15">
      <c r="A5" s="626" t="s">
        <v>408</v>
      </c>
      <c r="B5" s="627"/>
      <c r="C5" s="627"/>
      <c r="D5" s="627"/>
      <c r="E5" s="627"/>
      <c r="F5" s="627"/>
      <c r="G5" s="620" t="s">
        <v>186</v>
      </c>
    </row>
    <row r="6" spans="1:11" ht="15.75" customHeight="1">
      <c r="A6" s="628"/>
      <c r="B6" s="840" t="s">
        <v>252</v>
      </c>
      <c r="C6" s="841" t="s">
        <v>370</v>
      </c>
      <c r="D6" s="841" t="s">
        <v>371</v>
      </c>
      <c r="E6" s="841" t="s">
        <v>376</v>
      </c>
      <c r="F6" s="840" t="s">
        <v>377</v>
      </c>
      <c r="G6" s="841" t="s">
        <v>372</v>
      </c>
    </row>
    <row r="7" spans="1:11" ht="15" customHeight="1">
      <c r="A7" s="629"/>
      <c r="B7" s="840"/>
      <c r="C7" s="841"/>
      <c r="D7" s="841"/>
      <c r="E7" s="841"/>
      <c r="F7" s="840"/>
      <c r="G7" s="841"/>
    </row>
    <row r="8" spans="1:11" ht="47.25" customHeight="1">
      <c r="A8" s="630" t="s">
        <v>373</v>
      </c>
      <c r="B8" s="631" t="s">
        <v>314</v>
      </c>
      <c r="C8" s="632" t="s">
        <v>292</v>
      </c>
      <c r="D8" s="632" t="s">
        <v>294</v>
      </c>
      <c r="E8" s="632" t="s">
        <v>291</v>
      </c>
      <c r="F8" s="632" t="s">
        <v>290</v>
      </c>
      <c r="G8" s="633" t="s">
        <v>293</v>
      </c>
    </row>
    <row r="9" spans="1:11" ht="15.75" thickBot="1">
      <c r="A9" s="634" t="s">
        <v>311</v>
      </c>
      <c r="B9" s="634" t="s">
        <v>254</v>
      </c>
      <c r="C9" s="634" t="s">
        <v>254</v>
      </c>
      <c r="D9" s="634" t="s">
        <v>254</v>
      </c>
      <c r="E9" s="634" t="s">
        <v>185</v>
      </c>
      <c r="F9" s="634" t="s">
        <v>185</v>
      </c>
      <c r="G9" s="634" t="s">
        <v>185</v>
      </c>
    </row>
    <row r="10" spans="1:11" ht="15" customHeight="1">
      <c r="A10" s="635">
        <v>2011</v>
      </c>
      <c r="B10" s="628">
        <v>2150495</v>
      </c>
      <c r="C10" s="628">
        <v>1583820</v>
      </c>
      <c r="D10" s="628">
        <v>566675</v>
      </c>
      <c r="E10" s="628">
        <v>48214</v>
      </c>
      <c r="F10" s="628">
        <v>14852</v>
      </c>
      <c r="G10" s="628">
        <v>10</v>
      </c>
      <c r="H10" s="167"/>
      <c r="I10" s="167"/>
      <c r="J10" s="167"/>
      <c r="K10" s="167"/>
    </row>
    <row r="11" spans="1:11" ht="15">
      <c r="A11" s="636">
        <v>2012</v>
      </c>
      <c r="B11" s="637">
        <v>4421670</v>
      </c>
      <c r="C11" s="637">
        <v>3622022</v>
      </c>
      <c r="D11" s="637">
        <v>661140</v>
      </c>
      <c r="E11" s="637">
        <v>66391</v>
      </c>
      <c r="F11" s="637">
        <v>21828</v>
      </c>
      <c r="G11" s="637">
        <v>11</v>
      </c>
      <c r="H11" s="167"/>
      <c r="I11" s="167"/>
      <c r="J11" s="167"/>
      <c r="K11" s="167"/>
    </row>
    <row r="12" spans="1:11" ht="15">
      <c r="A12" s="635">
        <v>2013</v>
      </c>
      <c r="B12" s="638">
        <v>7158370</v>
      </c>
      <c r="C12" s="628">
        <v>6603278</v>
      </c>
      <c r="D12" s="628">
        <v>555092</v>
      </c>
      <c r="E12" s="628">
        <v>61558</v>
      </c>
      <c r="F12" s="628">
        <v>15388</v>
      </c>
      <c r="G12" s="628">
        <v>13</v>
      </c>
      <c r="H12" s="167"/>
      <c r="I12" s="167"/>
      <c r="J12" s="167"/>
      <c r="K12" s="167"/>
    </row>
    <row r="13" spans="1:11" s="4" customFormat="1" ht="15">
      <c r="A13" s="639">
        <v>2014</v>
      </c>
      <c r="B13" s="637">
        <v>3320102</v>
      </c>
      <c r="C13" s="637">
        <v>2873631</v>
      </c>
      <c r="D13" s="637">
        <v>446471</v>
      </c>
      <c r="E13" s="637">
        <v>36291</v>
      </c>
      <c r="F13" s="637">
        <v>11580</v>
      </c>
      <c r="G13" s="637">
        <v>8</v>
      </c>
      <c r="H13" s="167"/>
      <c r="I13" s="560"/>
      <c r="J13" s="167"/>
      <c r="K13" s="167"/>
    </row>
    <row r="14" spans="1:11" ht="15">
      <c r="A14" s="640">
        <v>2015</v>
      </c>
      <c r="B14" s="638">
        <v>1932360</v>
      </c>
      <c r="C14" s="628">
        <v>1231567</v>
      </c>
      <c r="D14" s="628">
        <v>700793</v>
      </c>
      <c r="E14" s="628">
        <v>36655</v>
      </c>
      <c r="F14" s="628">
        <v>10886</v>
      </c>
      <c r="G14" s="628">
        <v>4</v>
      </c>
      <c r="H14" s="167"/>
      <c r="I14" s="167"/>
      <c r="J14" s="167"/>
      <c r="K14" s="167"/>
    </row>
    <row r="15" spans="1:11" s="111" customFormat="1" ht="15">
      <c r="A15" s="641">
        <v>2016</v>
      </c>
      <c r="B15" s="642">
        <v>1962888</v>
      </c>
      <c r="C15" s="637">
        <v>1297872</v>
      </c>
      <c r="D15" s="637">
        <v>659555</v>
      </c>
      <c r="E15" s="637">
        <v>37973</v>
      </c>
      <c r="F15" s="637">
        <v>9369</v>
      </c>
      <c r="G15" s="637">
        <v>11</v>
      </c>
      <c r="H15" s="167"/>
      <c r="I15" s="167"/>
      <c r="J15" s="167"/>
      <c r="K15" s="167"/>
    </row>
    <row r="16" spans="1:11" s="167" customFormat="1" ht="15">
      <c r="A16" s="640">
        <v>2017</v>
      </c>
      <c r="B16" s="638">
        <v>1479020</v>
      </c>
      <c r="C16" s="628">
        <v>819485</v>
      </c>
      <c r="D16" s="628">
        <v>659555</v>
      </c>
      <c r="E16" s="628">
        <v>41885</v>
      </c>
      <c r="F16" s="628">
        <v>8836</v>
      </c>
      <c r="G16" s="628">
        <v>2</v>
      </c>
    </row>
    <row r="17" spans="1:11" ht="15">
      <c r="A17" s="641">
        <v>2018</v>
      </c>
      <c r="B17" s="642">
        <v>1398142</v>
      </c>
      <c r="C17" s="642">
        <v>901626</v>
      </c>
      <c r="D17" s="642">
        <v>496515</v>
      </c>
      <c r="E17" s="642">
        <v>36379</v>
      </c>
      <c r="F17" s="642">
        <v>7324</v>
      </c>
      <c r="G17" s="643">
        <v>6</v>
      </c>
      <c r="H17" s="167"/>
      <c r="I17" s="167"/>
      <c r="J17" s="167"/>
      <c r="K17" s="167"/>
    </row>
    <row r="18" spans="1:11" ht="15">
      <c r="A18" s="640">
        <v>2019</v>
      </c>
      <c r="B18" s="638">
        <v>1162220</v>
      </c>
      <c r="C18" s="659">
        <v>556023</v>
      </c>
      <c r="D18" s="638">
        <v>606196</v>
      </c>
      <c r="E18" s="638">
        <v>35966</v>
      </c>
      <c r="F18" s="638">
        <v>12038.66</v>
      </c>
      <c r="G18" s="644">
        <v>13</v>
      </c>
    </row>
    <row r="19" spans="1:11" ht="15">
      <c r="A19" s="641">
        <v>2020</v>
      </c>
      <c r="B19" s="645">
        <v>949191</v>
      </c>
      <c r="C19" s="645">
        <v>403887</v>
      </c>
      <c r="D19" s="645">
        <v>545304</v>
      </c>
      <c r="E19" s="645">
        <v>29355</v>
      </c>
      <c r="F19" s="645">
        <v>7959</v>
      </c>
      <c r="G19" s="600">
        <v>6</v>
      </c>
    </row>
    <row r="20" spans="1:11" ht="15">
      <c r="A20" s="640">
        <v>2021</v>
      </c>
      <c r="B20" s="638">
        <v>1852178</v>
      </c>
      <c r="C20" s="638">
        <v>914312</v>
      </c>
      <c r="D20" s="638">
        <v>937866</v>
      </c>
      <c r="E20" s="638">
        <v>51477</v>
      </c>
      <c r="F20" s="638">
        <v>16888</v>
      </c>
      <c r="G20" s="638">
        <v>16</v>
      </c>
    </row>
    <row r="21" spans="1:11" ht="15">
      <c r="A21" s="641">
        <v>2022</v>
      </c>
      <c r="B21" s="645">
        <v>2073832</v>
      </c>
      <c r="C21" s="645">
        <v>1045260</v>
      </c>
      <c r="D21" s="645">
        <v>1028572</v>
      </c>
      <c r="E21" s="645">
        <v>55779</v>
      </c>
      <c r="F21" s="645">
        <v>19292</v>
      </c>
      <c r="G21" s="600">
        <v>17</v>
      </c>
    </row>
    <row r="22" spans="1:11" ht="15">
      <c r="A22" s="640">
        <v>2023</v>
      </c>
      <c r="B22" s="638">
        <v>1819880</v>
      </c>
      <c r="C22" s="638">
        <v>868272</v>
      </c>
      <c r="D22" s="638">
        <v>951608</v>
      </c>
      <c r="E22" s="638">
        <v>51034</v>
      </c>
      <c r="F22" s="638">
        <v>17651</v>
      </c>
      <c r="G22" s="638">
        <v>22</v>
      </c>
    </row>
    <row r="23" spans="1:11" ht="15">
      <c r="A23" s="641">
        <v>2024</v>
      </c>
      <c r="B23" s="645">
        <f>D23+C23</f>
        <v>1463360.7434999999</v>
      </c>
      <c r="C23" s="645">
        <v>613720.70900000003</v>
      </c>
      <c r="D23" s="645">
        <v>849640.03449999995</v>
      </c>
      <c r="E23" s="645">
        <v>40408</v>
      </c>
      <c r="F23" s="645">
        <v>14534</v>
      </c>
      <c r="G23" s="645">
        <v>14</v>
      </c>
      <c r="I23" s="3"/>
      <c r="J23" s="3"/>
      <c r="K23" s="3"/>
    </row>
    <row r="24" spans="1:11" s="4" customFormat="1"/>
    <row r="25" spans="1:11" s="4" customFormat="1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1" s="4" customFormat="1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1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  <row r="31" spans="1:11">
      <c r="A31" t="s">
        <v>349</v>
      </c>
      <c r="B31" t="s">
        <v>94</v>
      </c>
      <c r="C31" t="s">
        <v>92</v>
      </c>
      <c r="D31" t="s">
        <v>378</v>
      </c>
    </row>
    <row r="32" spans="1:11">
      <c r="A32">
        <v>2011</v>
      </c>
      <c r="B32">
        <v>2150495</v>
      </c>
      <c r="C32">
        <v>1583820</v>
      </c>
      <c r="D32">
        <v>566675</v>
      </c>
      <c r="E32">
        <v>48214</v>
      </c>
      <c r="F32">
        <v>14852</v>
      </c>
    </row>
    <row r="33" spans="1:6">
      <c r="A33">
        <v>2012</v>
      </c>
      <c r="B33">
        <v>4421670</v>
      </c>
      <c r="C33">
        <v>3622022</v>
      </c>
      <c r="D33">
        <v>661140</v>
      </c>
      <c r="E33">
        <v>66391</v>
      </c>
      <c r="F33">
        <v>21828</v>
      </c>
    </row>
    <row r="34" spans="1:6">
      <c r="A34">
        <v>2013</v>
      </c>
      <c r="B34">
        <v>7158371</v>
      </c>
      <c r="C34">
        <v>6603278</v>
      </c>
      <c r="D34">
        <v>555092</v>
      </c>
      <c r="E34">
        <v>61558</v>
      </c>
      <c r="F34">
        <v>15388</v>
      </c>
    </row>
    <row r="35" spans="1:6">
      <c r="A35">
        <v>2014</v>
      </c>
      <c r="B35">
        <v>3320102</v>
      </c>
      <c r="C35">
        <v>2873631</v>
      </c>
      <c r="D35">
        <v>446471</v>
      </c>
      <c r="E35">
        <v>36291</v>
      </c>
      <c r="F35">
        <v>11580</v>
      </c>
    </row>
    <row r="36" spans="1:6">
      <c r="A36">
        <v>2015</v>
      </c>
      <c r="B36">
        <v>1932360</v>
      </c>
      <c r="C36">
        <v>1231567</v>
      </c>
      <c r="D36">
        <v>700793</v>
      </c>
      <c r="E36">
        <v>36655</v>
      </c>
      <c r="F36">
        <v>10886</v>
      </c>
    </row>
    <row r="37" spans="1:6">
      <c r="A37">
        <v>2016</v>
      </c>
      <c r="B37">
        <v>1962888</v>
      </c>
      <c r="C37">
        <v>1297872</v>
      </c>
      <c r="D37" s="232">
        <v>659555</v>
      </c>
      <c r="E37" s="232">
        <v>37973</v>
      </c>
      <c r="F37">
        <v>9369</v>
      </c>
    </row>
    <row r="38" spans="1:6">
      <c r="A38">
        <v>2017</v>
      </c>
      <c r="B38">
        <v>1479021</v>
      </c>
      <c r="C38">
        <v>819485</v>
      </c>
      <c r="D38" s="232">
        <v>659555</v>
      </c>
      <c r="E38" s="232">
        <v>41885</v>
      </c>
      <c r="F38">
        <v>8836</v>
      </c>
    </row>
    <row r="39" spans="1:6">
      <c r="A39">
        <v>2018</v>
      </c>
      <c r="B39">
        <v>1398142</v>
      </c>
      <c r="C39">
        <v>901626</v>
      </c>
      <c r="D39" s="232">
        <v>496515</v>
      </c>
      <c r="E39" s="232">
        <v>36379</v>
      </c>
      <c r="F39">
        <v>7324</v>
      </c>
    </row>
    <row r="40" spans="1:6">
      <c r="A40">
        <v>2019</v>
      </c>
      <c r="B40">
        <v>1162220</v>
      </c>
      <c r="C40">
        <v>556023</v>
      </c>
      <c r="D40" s="232">
        <v>606196</v>
      </c>
      <c r="E40" s="232">
        <v>35966</v>
      </c>
      <c r="F40">
        <v>12038.66</v>
      </c>
    </row>
    <row r="41" spans="1:6">
      <c r="A41">
        <v>2020</v>
      </c>
      <c r="B41">
        <v>949191</v>
      </c>
      <c r="C41">
        <v>403887</v>
      </c>
      <c r="D41" s="232">
        <v>545304</v>
      </c>
      <c r="E41" s="232">
        <v>29355</v>
      </c>
      <c r="F41">
        <v>7959</v>
      </c>
    </row>
    <row r="42" spans="1:6">
      <c r="A42">
        <v>2021</v>
      </c>
      <c r="B42">
        <v>1852178</v>
      </c>
      <c r="C42">
        <v>914312</v>
      </c>
      <c r="D42" s="232">
        <v>937866</v>
      </c>
      <c r="E42" s="232">
        <v>51477</v>
      </c>
      <c r="F42">
        <v>16888</v>
      </c>
    </row>
    <row r="43" spans="1:6">
      <c r="A43">
        <v>2022</v>
      </c>
      <c r="B43">
        <v>2073832</v>
      </c>
      <c r="C43">
        <v>1045260</v>
      </c>
      <c r="D43" s="232">
        <v>1028572</v>
      </c>
      <c r="E43" s="232">
        <v>55779</v>
      </c>
      <c r="F43">
        <v>19292</v>
      </c>
    </row>
    <row r="44" spans="1:6">
      <c r="A44">
        <v>2023</v>
      </c>
      <c r="B44">
        <v>1819880</v>
      </c>
      <c r="C44">
        <v>868272</v>
      </c>
      <c r="D44" s="232">
        <v>951608</v>
      </c>
      <c r="E44" s="232">
        <v>51034</v>
      </c>
      <c r="F44">
        <v>17651</v>
      </c>
    </row>
    <row r="45" spans="1:6">
      <c r="A45">
        <v>2024</v>
      </c>
      <c r="B45">
        <v>1208819</v>
      </c>
      <c r="C45">
        <v>597189</v>
      </c>
      <c r="D45" s="232">
        <v>611630</v>
      </c>
      <c r="E45" s="232">
        <v>40408</v>
      </c>
      <c r="F45">
        <v>14534</v>
      </c>
    </row>
    <row r="46" spans="1:6">
      <c r="D46" s="232"/>
      <c r="E46" s="232"/>
    </row>
    <row r="47" spans="1:6">
      <c r="D47" s="232"/>
      <c r="E47" s="232"/>
    </row>
    <row r="58" s="45" customFormat="1"/>
  </sheetData>
  <mergeCells count="8">
    <mergeCell ref="A3:G3"/>
    <mergeCell ref="A4:G4"/>
    <mergeCell ref="B6:B7"/>
    <mergeCell ref="C6:C7"/>
    <mergeCell ref="D6:D7"/>
    <mergeCell ref="E6:E7"/>
    <mergeCell ref="F6:F7"/>
    <mergeCell ref="G6:G7"/>
  </mergeCells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17"/>
  <sheetViews>
    <sheetView rightToLeft="1" zoomScaleNormal="100" workbookViewId="0">
      <selection activeCell="C18" sqref="C18"/>
    </sheetView>
  </sheetViews>
  <sheetFormatPr defaultRowHeight="12.75"/>
  <cols>
    <col min="1" max="1" width="14.42578125" style="593" customWidth="1"/>
    <col min="2" max="2" width="21.7109375" style="593" customWidth="1"/>
    <col min="3" max="3" width="15.85546875" style="593" customWidth="1"/>
    <col min="4" max="4" width="16.7109375" style="593" customWidth="1"/>
    <col min="5" max="5" width="11.5703125" style="593" customWidth="1"/>
    <col min="6" max="6" width="16.5703125" style="593" customWidth="1"/>
    <col min="7" max="7" width="9.140625" style="593"/>
    <col min="8" max="8" width="14.28515625" style="593" bestFit="1" customWidth="1"/>
    <col min="9" max="16384" width="9.140625" style="593"/>
  </cols>
  <sheetData>
    <row r="2" spans="1:8" ht="15">
      <c r="A2" s="855" t="s">
        <v>436</v>
      </c>
      <c r="B2" s="855"/>
      <c r="C2" s="855"/>
      <c r="D2" s="855"/>
      <c r="E2" s="855"/>
      <c r="F2" s="855"/>
    </row>
    <row r="3" spans="1:8">
      <c r="A3" s="872" t="s">
        <v>399</v>
      </c>
      <c r="B3" s="872"/>
      <c r="C3" s="872"/>
      <c r="D3" s="872"/>
      <c r="E3" s="872"/>
      <c r="F3" s="872"/>
    </row>
    <row r="4" spans="1:8">
      <c r="A4" s="872"/>
      <c r="B4" s="872"/>
      <c r="C4" s="872"/>
      <c r="D4" s="872"/>
      <c r="E4" s="872"/>
      <c r="F4" s="872"/>
    </row>
    <row r="5" spans="1:8" ht="15">
      <c r="A5" s="713"/>
      <c r="B5" s="713"/>
      <c r="C5" s="597"/>
      <c r="D5" s="713"/>
      <c r="E5" s="874" t="s">
        <v>362</v>
      </c>
      <c r="F5" s="874"/>
    </row>
    <row r="6" spans="1:8" ht="15.75" thickBot="1">
      <c r="A6" s="725" t="s">
        <v>433</v>
      </c>
      <c r="B6" s="724" t="s">
        <v>361</v>
      </c>
      <c r="C6" s="714"/>
      <c r="D6" s="859" t="s">
        <v>343</v>
      </c>
      <c r="E6" s="859"/>
      <c r="F6" s="714" t="s">
        <v>172</v>
      </c>
    </row>
    <row r="7" spans="1:8" ht="30">
      <c r="A7" s="715"/>
      <c r="B7" s="716" t="s">
        <v>108</v>
      </c>
      <c r="C7" s="717" t="s">
        <v>435</v>
      </c>
      <c r="D7" s="716" t="s">
        <v>78</v>
      </c>
      <c r="E7" s="716" t="s">
        <v>117</v>
      </c>
      <c r="F7" s="715"/>
    </row>
    <row r="8" spans="1:8" ht="15">
      <c r="A8" s="654"/>
      <c r="B8" s="573" t="s">
        <v>275</v>
      </c>
      <c r="C8" s="647"/>
      <c r="D8" s="573" t="s">
        <v>129</v>
      </c>
      <c r="E8" s="573" t="s">
        <v>126</v>
      </c>
      <c r="F8" s="654"/>
    </row>
    <row r="9" spans="1:8" ht="15.75" thickBot="1">
      <c r="A9" s="575" t="s">
        <v>51</v>
      </c>
      <c r="B9" s="575" t="s">
        <v>120</v>
      </c>
      <c r="C9" s="719"/>
      <c r="D9" s="575" t="s">
        <v>119</v>
      </c>
      <c r="E9" s="575"/>
      <c r="F9" s="719" t="s">
        <v>25</v>
      </c>
    </row>
    <row r="10" spans="1:8" s="615" customFormat="1" ht="17.25" thickTop="1" thickBot="1">
      <c r="A10" s="726" t="s">
        <v>6</v>
      </c>
      <c r="B10" s="727">
        <v>1</v>
      </c>
      <c r="C10" s="727">
        <v>0</v>
      </c>
      <c r="D10" s="726">
        <v>331</v>
      </c>
      <c r="E10" s="728">
        <v>99180</v>
      </c>
      <c r="F10" s="726" t="s">
        <v>380</v>
      </c>
      <c r="H10" s="411"/>
    </row>
    <row r="11" spans="1:8" s="615" customFormat="1" ht="16.5" thickBot="1">
      <c r="A11" s="729" t="s">
        <v>0</v>
      </c>
      <c r="B11" s="730">
        <f>SUM(B10:B10)</f>
        <v>1</v>
      </c>
      <c r="C11" s="730">
        <f>SUM(C10:C10)</f>
        <v>0</v>
      </c>
      <c r="D11" s="730">
        <f>SUM(D10:D10)</f>
        <v>331</v>
      </c>
      <c r="E11" s="730">
        <f>SUM(E10:E10)</f>
        <v>99180</v>
      </c>
      <c r="F11" s="731" t="s">
        <v>1</v>
      </c>
    </row>
    <row r="12" spans="1:8" ht="13.5" thickTop="1">
      <c r="A12" s="875" t="s">
        <v>434</v>
      </c>
      <c r="B12" s="875"/>
      <c r="C12" s="875"/>
      <c r="D12" s="875"/>
      <c r="E12" s="613"/>
    </row>
    <row r="17" spans="3:3">
      <c r="C17" s="603"/>
    </row>
  </sheetData>
  <mergeCells count="5">
    <mergeCell ref="A2:F2"/>
    <mergeCell ref="A3:F4"/>
    <mergeCell ref="E5:F5"/>
    <mergeCell ref="D6:E6"/>
    <mergeCell ref="A12:D12"/>
  </mergeCells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92D050"/>
  </sheetPr>
  <dimension ref="A1:N24"/>
  <sheetViews>
    <sheetView rightToLeft="1" zoomScale="80" zoomScaleNormal="80" zoomScaleSheetLayoutView="100" workbookViewId="0">
      <selection activeCell="C18" sqref="C18"/>
    </sheetView>
  </sheetViews>
  <sheetFormatPr defaultRowHeight="12.75"/>
  <cols>
    <col min="1" max="1" width="11.140625" style="593" customWidth="1"/>
    <col min="2" max="2" width="7.5703125" style="593" customWidth="1"/>
    <col min="3" max="4" width="8.85546875" style="593" customWidth="1"/>
    <col min="5" max="6" width="12.85546875" style="593" customWidth="1"/>
    <col min="7" max="7" width="13.28515625" style="593" customWidth="1"/>
    <col min="8" max="8" width="16.42578125" style="593" customWidth="1"/>
    <col min="9" max="9" width="15.140625" style="593" customWidth="1"/>
    <col min="10" max="10" width="15.7109375" style="593" customWidth="1"/>
    <col min="11" max="11" width="8.28515625" style="593" customWidth="1"/>
    <col min="12" max="12" width="15.7109375" style="593" bestFit="1" customWidth="1"/>
    <col min="13" max="13" width="15.42578125" style="593" bestFit="1" customWidth="1"/>
    <col min="14" max="16384" width="9.140625" style="593"/>
  </cols>
  <sheetData>
    <row r="1" spans="1:14" ht="30.75" customHeight="1">
      <c r="A1" s="855" t="s">
        <v>439</v>
      </c>
      <c r="B1" s="855"/>
      <c r="C1" s="855"/>
      <c r="D1" s="855"/>
      <c r="E1" s="855"/>
      <c r="F1" s="855"/>
      <c r="G1" s="855"/>
      <c r="H1" s="855"/>
      <c r="I1" s="855"/>
      <c r="J1" s="701"/>
    </row>
    <row r="2" spans="1:14" ht="15" customHeight="1">
      <c r="A2" s="858" t="s">
        <v>398</v>
      </c>
      <c r="B2" s="858"/>
      <c r="C2" s="858"/>
      <c r="D2" s="858"/>
      <c r="E2" s="858"/>
      <c r="F2" s="858"/>
      <c r="G2" s="858"/>
      <c r="H2" s="858"/>
      <c r="I2" s="858"/>
      <c r="J2" s="858"/>
    </row>
    <row r="3" spans="1:14" ht="15" customHeight="1">
      <c r="A3" s="858"/>
      <c r="B3" s="858"/>
      <c r="C3" s="858"/>
      <c r="D3" s="858"/>
      <c r="E3" s="858"/>
      <c r="F3" s="858"/>
      <c r="G3" s="858"/>
      <c r="H3" s="858"/>
      <c r="I3" s="858"/>
      <c r="J3" s="858"/>
    </row>
    <row r="4" spans="1:14" ht="15" customHeight="1">
      <c r="A4" s="574"/>
      <c r="B4" s="574"/>
      <c r="C4" s="574"/>
      <c r="D4" s="574"/>
      <c r="E4" s="574"/>
      <c r="F4" s="574"/>
      <c r="G4" s="574"/>
      <c r="H4" s="574"/>
      <c r="I4" s="574"/>
      <c r="J4" s="626" t="s">
        <v>362</v>
      </c>
      <c r="K4" s="626"/>
    </row>
    <row r="5" spans="1:14" ht="18.75" customHeight="1" thickBot="1">
      <c r="A5" s="732" t="s">
        <v>437</v>
      </c>
      <c r="B5" s="879" t="s">
        <v>137</v>
      </c>
      <c r="C5" s="879"/>
      <c r="D5" s="565"/>
      <c r="E5" s="565"/>
      <c r="F5" s="565"/>
      <c r="G5" s="733"/>
      <c r="H5" s="877" t="s">
        <v>141</v>
      </c>
      <c r="I5" s="877"/>
      <c r="J5" s="734" t="s">
        <v>344</v>
      </c>
    </row>
    <row r="6" spans="1:14" ht="33.75" customHeight="1">
      <c r="A6" s="694"/>
      <c r="B6" s="649" t="s">
        <v>101</v>
      </c>
      <c r="C6" s="649" t="s">
        <v>331</v>
      </c>
      <c r="D6" s="649" t="s">
        <v>332</v>
      </c>
      <c r="E6" s="649" t="s">
        <v>333</v>
      </c>
      <c r="F6" s="588" t="s">
        <v>337</v>
      </c>
      <c r="G6" s="588" t="s">
        <v>109</v>
      </c>
      <c r="H6" s="588" t="s">
        <v>110</v>
      </c>
      <c r="I6" s="588" t="s">
        <v>113</v>
      </c>
      <c r="J6" s="735"/>
    </row>
    <row r="7" spans="1:14" ht="30.75" customHeight="1">
      <c r="A7" s="654"/>
      <c r="B7" s="573" t="s">
        <v>133</v>
      </c>
      <c r="C7" s="573" t="s">
        <v>334</v>
      </c>
      <c r="D7" s="573" t="s">
        <v>335</v>
      </c>
      <c r="E7" s="573" t="s">
        <v>336</v>
      </c>
      <c r="F7" s="648" t="s">
        <v>339</v>
      </c>
      <c r="G7" s="573" t="s">
        <v>130</v>
      </c>
      <c r="H7" s="573" t="s">
        <v>129</v>
      </c>
      <c r="I7" s="573" t="s">
        <v>134</v>
      </c>
      <c r="J7" s="654"/>
    </row>
    <row r="8" spans="1:14" ht="17.25" customHeight="1" thickBot="1">
      <c r="A8" s="575" t="s">
        <v>77</v>
      </c>
      <c r="B8" s="575" t="s">
        <v>120</v>
      </c>
      <c r="C8" s="575"/>
      <c r="D8" s="575"/>
      <c r="E8" s="575"/>
      <c r="F8" s="736" t="s">
        <v>338</v>
      </c>
      <c r="G8" s="575" t="s">
        <v>119</v>
      </c>
      <c r="H8" s="575" t="s">
        <v>119</v>
      </c>
      <c r="I8" s="575"/>
      <c r="J8" s="719" t="s">
        <v>25</v>
      </c>
    </row>
    <row r="9" spans="1:14" s="615" customFormat="1" ht="17.25" customHeight="1" thickTop="1">
      <c r="A9" s="737" t="s">
        <v>329</v>
      </c>
      <c r="B9" s="581">
        <v>1</v>
      </c>
      <c r="C9" s="581">
        <v>0</v>
      </c>
      <c r="D9" s="581">
        <v>0</v>
      </c>
      <c r="E9" s="581">
        <v>1</v>
      </c>
      <c r="F9" s="581">
        <v>2</v>
      </c>
      <c r="G9" s="651">
        <v>7991</v>
      </c>
      <c r="H9" s="651">
        <v>1770</v>
      </c>
      <c r="I9" s="651">
        <v>781274.5</v>
      </c>
      <c r="J9" s="651" t="s">
        <v>379</v>
      </c>
      <c r="L9" s="650"/>
    </row>
    <row r="10" spans="1:14" s="615" customFormat="1" ht="15.75" customHeight="1">
      <c r="A10" s="738" t="s">
        <v>3</v>
      </c>
      <c r="B10" s="585">
        <v>1</v>
      </c>
      <c r="C10" s="585">
        <v>0</v>
      </c>
      <c r="D10" s="585">
        <v>0</v>
      </c>
      <c r="E10" s="585">
        <v>0</v>
      </c>
      <c r="F10" s="585">
        <v>3</v>
      </c>
      <c r="G10" s="583">
        <v>460</v>
      </c>
      <c r="H10" s="583">
        <v>613</v>
      </c>
      <c r="I10" s="584">
        <v>255636</v>
      </c>
      <c r="J10" s="646" t="s">
        <v>15</v>
      </c>
      <c r="L10" s="650"/>
    </row>
    <row r="11" spans="1:14" s="615" customFormat="1" ht="15.75" customHeight="1">
      <c r="A11" s="737" t="s">
        <v>320</v>
      </c>
      <c r="B11" s="739">
        <v>1</v>
      </c>
      <c r="C11" s="739">
        <v>0</v>
      </c>
      <c r="D11" s="739">
        <v>0</v>
      </c>
      <c r="E11" s="739">
        <v>0</v>
      </c>
      <c r="F11" s="739">
        <v>0</v>
      </c>
      <c r="G11" s="580">
        <v>246</v>
      </c>
      <c r="H11" s="580">
        <v>385</v>
      </c>
      <c r="I11" s="580">
        <v>125216</v>
      </c>
      <c r="J11" s="651" t="s">
        <v>316</v>
      </c>
      <c r="L11" s="740"/>
      <c r="N11" s="604"/>
    </row>
    <row r="12" spans="1:14" s="615" customFormat="1" ht="15.75" customHeight="1">
      <c r="A12" s="738" t="s">
        <v>4</v>
      </c>
      <c r="B12" s="585">
        <v>2</v>
      </c>
      <c r="C12" s="585">
        <v>1</v>
      </c>
      <c r="D12" s="585">
        <v>0</v>
      </c>
      <c r="E12" s="585">
        <v>0</v>
      </c>
      <c r="F12" s="585">
        <v>3</v>
      </c>
      <c r="G12" s="583">
        <v>11315</v>
      </c>
      <c r="H12" s="583">
        <v>14134</v>
      </c>
      <c r="I12" s="584">
        <v>4536323.5</v>
      </c>
      <c r="J12" s="646" t="s">
        <v>16</v>
      </c>
      <c r="L12" s="599"/>
      <c r="N12" s="593"/>
    </row>
    <row r="13" spans="1:14" s="615" customFormat="1" ht="14.1" customHeight="1">
      <c r="A13" s="737" t="s">
        <v>5</v>
      </c>
      <c r="B13" s="581">
        <v>1</v>
      </c>
      <c r="C13" s="581">
        <v>0</v>
      </c>
      <c r="D13" s="581">
        <v>0</v>
      </c>
      <c r="E13" s="581">
        <v>0</v>
      </c>
      <c r="F13" s="581">
        <v>1</v>
      </c>
      <c r="G13" s="579">
        <v>8777</v>
      </c>
      <c r="H13" s="579">
        <v>7269</v>
      </c>
      <c r="I13" s="580">
        <v>3443451</v>
      </c>
      <c r="J13" s="651" t="s">
        <v>23</v>
      </c>
      <c r="L13" s="599"/>
      <c r="N13" s="593"/>
    </row>
    <row r="14" spans="1:14" s="615" customFormat="1" ht="17.25" customHeight="1">
      <c r="A14" s="738" t="s">
        <v>11</v>
      </c>
      <c r="B14" s="585">
        <v>1</v>
      </c>
      <c r="C14" s="585">
        <v>0</v>
      </c>
      <c r="D14" s="585">
        <v>0</v>
      </c>
      <c r="E14" s="585">
        <v>0</v>
      </c>
      <c r="F14" s="585">
        <v>0</v>
      </c>
      <c r="G14" s="583">
        <v>148</v>
      </c>
      <c r="H14" s="583">
        <v>74</v>
      </c>
      <c r="I14" s="584">
        <v>25900</v>
      </c>
      <c r="J14" s="646" t="s">
        <v>380</v>
      </c>
      <c r="L14" s="599"/>
      <c r="N14" s="593"/>
    </row>
    <row r="15" spans="1:14" s="615" customFormat="1" ht="14.1" customHeight="1">
      <c r="A15" s="737" t="s">
        <v>2</v>
      </c>
      <c r="B15" s="581">
        <v>1</v>
      </c>
      <c r="C15" s="581">
        <v>0</v>
      </c>
      <c r="D15" s="581">
        <v>0</v>
      </c>
      <c r="E15" s="581">
        <v>0</v>
      </c>
      <c r="F15" s="581">
        <v>2</v>
      </c>
      <c r="G15" s="579">
        <v>3351</v>
      </c>
      <c r="H15" s="579">
        <v>3126</v>
      </c>
      <c r="I15" s="580">
        <v>1077250</v>
      </c>
      <c r="J15" s="651" t="s">
        <v>17</v>
      </c>
      <c r="L15" s="599"/>
      <c r="N15" s="593"/>
    </row>
    <row r="16" spans="1:14" s="615" customFormat="1" ht="14.1" customHeight="1">
      <c r="A16" s="738" t="s">
        <v>8</v>
      </c>
      <c r="B16" s="585">
        <v>1</v>
      </c>
      <c r="C16" s="585">
        <v>0</v>
      </c>
      <c r="D16" s="585">
        <v>0</v>
      </c>
      <c r="E16" s="585">
        <v>0</v>
      </c>
      <c r="F16" s="585">
        <v>0</v>
      </c>
      <c r="G16" s="583">
        <v>127</v>
      </c>
      <c r="H16" s="583">
        <v>94</v>
      </c>
      <c r="I16" s="584">
        <v>28080</v>
      </c>
      <c r="J16" s="646" t="s">
        <v>18</v>
      </c>
      <c r="L16" s="599"/>
      <c r="N16" s="593"/>
    </row>
    <row r="17" spans="1:14" s="615" customFormat="1" ht="14.1" customHeight="1">
      <c r="A17" s="737" t="s">
        <v>10</v>
      </c>
      <c r="B17" s="581">
        <v>2</v>
      </c>
      <c r="C17" s="581">
        <v>0</v>
      </c>
      <c r="D17" s="581">
        <v>0</v>
      </c>
      <c r="E17" s="581">
        <v>0</v>
      </c>
      <c r="F17" s="581">
        <v>0</v>
      </c>
      <c r="G17" s="579">
        <v>208</v>
      </c>
      <c r="H17" s="579">
        <v>715</v>
      </c>
      <c r="I17" s="580">
        <v>249898</v>
      </c>
      <c r="J17" s="651" t="s">
        <v>19</v>
      </c>
      <c r="L17" s="599"/>
      <c r="N17" s="593"/>
    </row>
    <row r="18" spans="1:14" s="615" customFormat="1" ht="14.1" customHeight="1" thickBot="1">
      <c r="A18" s="738" t="s">
        <v>13</v>
      </c>
      <c r="B18" s="585">
        <v>3</v>
      </c>
      <c r="C18" s="789">
        <v>3</v>
      </c>
      <c r="D18" s="585">
        <v>1</v>
      </c>
      <c r="E18" s="585">
        <v>0</v>
      </c>
      <c r="F18" s="585">
        <v>10</v>
      </c>
      <c r="G18" s="583">
        <v>17954</v>
      </c>
      <c r="H18" s="583">
        <v>28301</v>
      </c>
      <c r="I18" s="584">
        <v>11388077</v>
      </c>
      <c r="J18" s="646" t="s">
        <v>20</v>
      </c>
      <c r="L18" s="599"/>
      <c r="N18" s="593"/>
    </row>
    <row r="19" spans="1:14" s="604" customFormat="1" ht="18" customHeight="1" thickBot="1">
      <c r="A19" s="741" t="s">
        <v>0</v>
      </c>
      <c r="B19" s="742">
        <f t="shared" ref="B19:I19" si="0">SUM(B9:B18)</f>
        <v>14</v>
      </c>
      <c r="C19" s="742">
        <f t="shared" si="0"/>
        <v>4</v>
      </c>
      <c r="D19" s="742">
        <f t="shared" si="0"/>
        <v>1</v>
      </c>
      <c r="E19" s="742">
        <f t="shared" si="0"/>
        <v>1</v>
      </c>
      <c r="F19" s="742">
        <f t="shared" si="0"/>
        <v>21</v>
      </c>
      <c r="G19" s="743">
        <f t="shared" si="0"/>
        <v>50577</v>
      </c>
      <c r="H19" s="743">
        <f t="shared" si="0"/>
        <v>56481</v>
      </c>
      <c r="I19" s="743">
        <f t="shared" si="0"/>
        <v>21911106</v>
      </c>
      <c r="J19" s="742" t="s">
        <v>1</v>
      </c>
      <c r="L19" s="739"/>
      <c r="N19" s="593"/>
    </row>
    <row r="20" spans="1:14" ht="18" customHeight="1" thickTop="1">
      <c r="A20" s="878" t="s">
        <v>438</v>
      </c>
      <c r="B20" s="878"/>
      <c r="C20" s="878"/>
      <c r="D20" s="878"/>
      <c r="E20" s="878"/>
      <c r="F20" s="878"/>
      <c r="G20" s="878"/>
      <c r="H20" s="878"/>
      <c r="I20" s="878"/>
    </row>
    <row r="21" spans="1:14">
      <c r="A21" s="876"/>
      <c r="B21" s="876"/>
      <c r="C21" s="876"/>
      <c r="D21" s="876"/>
      <c r="E21" s="876"/>
      <c r="F21" s="876"/>
      <c r="G21" s="876"/>
      <c r="H21" s="876"/>
      <c r="I21" s="876"/>
    </row>
    <row r="22" spans="1:14">
      <c r="A22" s="876"/>
      <c r="B22" s="876"/>
      <c r="C22" s="876"/>
      <c r="D22" s="876"/>
      <c r="E22" s="876"/>
      <c r="F22" s="876"/>
      <c r="G22" s="876"/>
      <c r="H22" s="876"/>
    </row>
    <row r="23" spans="1:14" ht="15">
      <c r="J23" s="619"/>
    </row>
    <row r="24" spans="1:14">
      <c r="F24" s="599"/>
    </row>
  </sheetData>
  <mergeCells count="7">
    <mergeCell ref="A22:H22"/>
    <mergeCell ref="A1:I1"/>
    <mergeCell ref="H5:I5"/>
    <mergeCell ref="A2:J3"/>
    <mergeCell ref="A21:I21"/>
    <mergeCell ref="A20:I20"/>
    <mergeCell ref="B5:C5"/>
  </mergeCells>
  <phoneticPr fontId="3" type="noConversion"/>
  <printOptions horizontalCentered="1" verticalCentered="1"/>
  <pageMargins left="0.2" right="0.85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92D050"/>
  </sheetPr>
  <dimension ref="A1:L14"/>
  <sheetViews>
    <sheetView rightToLeft="1" zoomScaleNormal="100" zoomScaleSheetLayoutView="100" workbookViewId="0">
      <selection activeCell="C18" sqref="C18"/>
    </sheetView>
  </sheetViews>
  <sheetFormatPr defaultRowHeight="12.75"/>
  <cols>
    <col min="1" max="1" width="11.140625" style="593" customWidth="1"/>
    <col min="2" max="2" width="11.7109375" style="593" customWidth="1"/>
    <col min="3" max="3" width="7.85546875" style="593" bestFit="1" customWidth="1"/>
    <col min="4" max="4" width="13.42578125" style="593" bestFit="1" customWidth="1"/>
    <col min="5" max="5" width="10.140625" style="593" bestFit="1" customWidth="1"/>
    <col min="6" max="6" width="18.42578125" style="593" bestFit="1" customWidth="1"/>
    <col min="7" max="7" width="11.85546875" style="593" customWidth="1"/>
    <col min="8" max="8" width="12" style="593" customWidth="1"/>
    <col min="9" max="9" width="18.85546875" style="593" customWidth="1"/>
    <col min="10" max="10" width="9.140625" style="593"/>
    <col min="11" max="11" width="13.140625" style="593" bestFit="1" customWidth="1"/>
    <col min="12" max="16384" width="9.140625" style="593"/>
  </cols>
  <sheetData>
    <row r="1" spans="1:12" ht="15" customHeight="1">
      <c r="A1" s="855" t="s">
        <v>441</v>
      </c>
      <c r="B1" s="855"/>
      <c r="C1" s="855"/>
      <c r="D1" s="855"/>
      <c r="E1" s="855"/>
      <c r="F1" s="855"/>
      <c r="G1" s="855"/>
      <c r="H1" s="855"/>
      <c r="I1" s="701"/>
    </row>
    <row r="2" spans="1:12" ht="15" customHeight="1">
      <c r="A2" s="858" t="s">
        <v>397</v>
      </c>
      <c r="B2" s="858"/>
      <c r="C2" s="858"/>
      <c r="D2" s="858"/>
      <c r="E2" s="858"/>
      <c r="F2" s="858"/>
      <c r="G2" s="858"/>
      <c r="H2" s="858"/>
      <c r="I2" s="858"/>
    </row>
    <row r="3" spans="1:12" ht="15" customHeight="1">
      <c r="A3" s="858"/>
      <c r="B3" s="858"/>
      <c r="C3" s="858"/>
      <c r="D3" s="858"/>
      <c r="E3" s="858"/>
      <c r="F3" s="858"/>
      <c r="G3" s="858"/>
      <c r="H3" s="858"/>
      <c r="I3" s="858"/>
    </row>
    <row r="4" spans="1:12" ht="15" customHeight="1">
      <c r="A4" s="574"/>
      <c r="B4" s="574"/>
      <c r="C4" s="574"/>
      <c r="D4" s="574"/>
      <c r="E4" s="574"/>
      <c r="F4" s="574"/>
      <c r="G4" s="574"/>
      <c r="H4" s="574"/>
      <c r="I4" s="619" t="s">
        <v>194</v>
      </c>
    </row>
    <row r="5" spans="1:12" ht="15" customHeight="1" thickBot="1">
      <c r="A5" s="732" t="s">
        <v>440</v>
      </c>
      <c r="B5" s="749" t="s">
        <v>361</v>
      </c>
      <c r="C5" s="565"/>
      <c r="D5" s="565"/>
      <c r="E5" s="565"/>
      <c r="F5" s="565"/>
      <c r="G5" s="877" t="s">
        <v>343</v>
      </c>
      <c r="H5" s="877"/>
      <c r="I5" s="734" t="s">
        <v>111</v>
      </c>
    </row>
    <row r="6" spans="1:12" ht="37.5" customHeight="1">
      <c r="A6" s="694"/>
      <c r="B6" s="649" t="s">
        <v>101</v>
      </c>
      <c r="C6" s="649" t="s">
        <v>331</v>
      </c>
      <c r="D6" s="649" t="s">
        <v>332</v>
      </c>
      <c r="E6" s="649" t="s">
        <v>333</v>
      </c>
      <c r="F6" s="588" t="s">
        <v>337</v>
      </c>
      <c r="G6" s="588" t="s">
        <v>110</v>
      </c>
      <c r="H6" s="588" t="s">
        <v>113</v>
      </c>
      <c r="I6" s="735"/>
    </row>
    <row r="7" spans="1:12" ht="27.75" customHeight="1">
      <c r="A7" s="654"/>
      <c r="B7" s="573" t="s">
        <v>133</v>
      </c>
      <c r="C7" s="573" t="s">
        <v>334</v>
      </c>
      <c r="D7" s="573" t="s">
        <v>335</v>
      </c>
      <c r="E7" s="573" t="s">
        <v>336</v>
      </c>
      <c r="F7" s="648" t="s">
        <v>339</v>
      </c>
      <c r="G7" s="573" t="s">
        <v>129</v>
      </c>
      <c r="H7" s="573" t="s">
        <v>134</v>
      </c>
      <c r="I7" s="654"/>
    </row>
    <row r="8" spans="1:12" ht="15" customHeight="1" thickBot="1">
      <c r="A8" s="575" t="s">
        <v>77</v>
      </c>
      <c r="B8" s="575" t="s">
        <v>120</v>
      </c>
      <c r="C8" s="575"/>
      <c r="D8" s="575"/>
      <c r="E8" s="575"/>
      <c r="F8" s="736" t="s">
        <v>338</v>
      </c>
      <c r="G8" s="575" t="s">
        <v>119</v>
      </c>
      <c r="H8" s="575"/>
      <c r="I8" s="719" t="s">
        <v>25</v>
      </c>
    </row>
    <row r="9" spans="1:12" s="615" customFormat="1" ht="16.5" customHeight="1" thickTop="1">
      <c r="A9" s="738" t="s">
        <v>3</v>
      </c>
      <c r="B9" s="585">
        <v>0</v>
      </c>
      <c r="C9" s="585">
        <v>0</v>
      </c>
      <c r="D9" s="585">
        <v>0</v>
      </c>
      <c r="E9" s="585">
        <v>0</v>
      </c>
      <c r="F9" s="585">
        <v>1</v>
      </c>
      <c r="G9" s="744">
        <v>54</v>
      </c>
      <c r="H9" s="646">
        <v>24120</v>
      </c>
      <c r="I9" s="646" t="s">
        <v>15</v>
      </c>
    </row>
    <row r="10" spans="1:12" s="615" customFormat="1" ht="16.5" customHeight="1">
      <c r="A10" s="745" t="s">
        <v>7</v>
      </c>
      <c r="B10" s="581">
        <v>1</v>
      </c>
      <c r="C10" s="581">
        <v>0</v>
      </c>
      <c r="D10" s="581">
        <v>0</v>
      </c>
      <c r="E10" s="581">
        <v>0</v>
      </c>
      <c r="F10" s="581">
        <v>0</v>
      </c>
      <c r="G10" s="587">
        <v>84</v>
      </c>
      <c r="H10" s="651">
        <v>33600</v>
      </c>
      <c r="I10" s="651" t="s">
        <v>17</v>
      </c>
    </row>
    <row r="11" spans="1:12" s="615" customFormat="1" ht="16.5" customHeight="1">
      <c r="A11" s="738" t="s">
        <v>10</v>
      </c>
      <c r="B11" s="585">
        <v>1</v>
      </c>
      <c r="C11" s="585">
        <v>0</v>
      </c>
      <c r="D11" s="585">
        <v>0</v>
      </c>
      <c r="E11" s="585">
        <v>0</v>
      </c>
      <c r="F11" s="585">
        <v>2</v>
      </c>
      <c r="G11" s="744">
        <v>116</v>
      </c>
      <c r="H11" s="646">
        <v>29050</v>
      </c>
      <c r="I11" s="646" t="s">
        <v>20</v>
      </c>
    </row>
    <row r="12" spans="1:12" ht="16.5" thickBot="1">
      <c r="A12" s="737" t="s">
        <v>13</v>
      </c>
      <c r="B12" s="581">
        <v>1</v>
      </c>
      <c r="C12" s="581">
        <v>0</v>
      </c>
      <c r="D12" s="581">
        <v>0</v>
      </c>
      <c r="E12" s="581">
        <v>0</v>
      </c>
      <c r="F12" s="581">
        <v>3</v>
      </c>
      <c r="G12" s="651">
        <v>354</v>
      </c>
      <c r="H12" s="651">
        <v>177000</v>
      </c>
      <c r="I12" s="737" t="s">
        <v>22</v>
      </c>
      <c r="L12" s="615"/>
    </row>
    <row r="13" spans="1:12" ht="16.5" thickBot="1">
      <c r="A13" s="746" t="s">
        <v>0</v>
      </c>
      <c r="B13" s="747">
        <f>SUM(B9:B12)</f>
        <v>3</v>
      </c>
      <c r="C13" s="747">
        <f t="shared" ref="C13:H13" si="0">SUM(C9:C12)</f>
        <v>0</v>
      </c>
      <c r="D13" s="747">
        <f t="shared" si="0"/>
        <v>0</v>
      </c>
      <c r="E13" s="747">
        <f t="shared" si="0"/>
        <v>0</v>
      </c>
      <c r="F13" s="747">
        <f t="shared" si="0"/>
        <v>6</v>
      </c>
      <c r="G13" s="747">
        <f t="shared" si="0"/>
        <v>608</v>
      </c>
      <c r="H13" s="748">
        <f t="shared" si="0"/>
        <v>263770</v>
      </c>
      <c r="I13" s="747" t="s">
        <v>1</v>
      </c>
    </row>
    <row r="14" spans="1:12" ht="13.5" thickTop="1">
      <c r="A14" s="875" t="s">
        <v>442</v>
      </c>
      <c r="B14" s="875"/>
      <c r="C14" s="875"/>
      <c r="D14" s="875"/>
      <c r="E14" s="875"/>
    </row>
  </sheetData>
  <mergeCells count="4">
    <mergeCell ref="A1:H1"/>
    <mergeCell ref="A2:I3"/>
    <mergeCell ref="G5:H5"/>
    <mergeCell ref="A14:E14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92D050"/>
  </sheetPr>
  <dimension ref="A1:L23"/>
  <sheetViews>
    <sheetView rightToLeft="1" topLeftCell="B1" zoomScale="90" zoomScaleNormal="90" zoomScaleSheetLayoutView="100" zoomScalePageLayoutView="90" workbookViewId="0">
      <selection activeCell="C18" sqref="C18"/>
    </sheetView>
  </sheetViews>
  <sheetFormatPr defaultRowHeight="12.75"/>
  <cols>
    <col min="1" max="1" width="1" style="593" hidden="1" customWidth="1"/>
    <col min="2" max="3" width="14.28515625" style="593" customWidth="1"/>
    <col min="4" max="5" width="13.7109375" style="593" customWidth="1"/>
    <col min="6" max="6" width="14" style="593" customWidth="1"/>
    <col min="7" max="8" width="16.28515625" style="593" customWidth="1"/>
    <col min="9" max="9" width="18.85546875" style="593" customWidth="1"/>
    <col min="10" max="10" width="9.140625" style="593"/>
    <col min="11" max="11" width="15.42578125" style="593" bestFit="1" customWidth="1"/>
    <col min="12" max="12" width="12.7109375" style="593" bestFit="1" customWidth="1"/>
    <col min="13" max="16384" width="9.140625" style="593"/>
  </cols>
  <sheetData>
    <row r="1" spans="1:12" ht="15" customHeight="1">
      <c r="A1" s="750"/>
      <c r="B1" s="882" t="s">
        <v>444</v>
      </c>
      <c r="C1" s="882"/>
      <c r="D1" s="882"/>
      <c r="E1" s="882"/>
      <c r="F1" s="882"/>
      <c r="G1" s="882"/>
      <c r="H1" s="882"/>
      <c r="I1" s="751"/>
    </row>
    <row r="2" spans="1:12" ht="17.25" customHeight="1">
      <c r="A2" s="750"/>
      <c r="B2" s="880" t="s">
        <v>396</v>
      </c>
      <c r="C2" s="880"/>
      <c r="D2" s="880"/>
      <c r="E2" s="880"/>
      <c r="F2" s="880"/>
      <c r="G2" s="880"/>
      <c r="H2" s="880"/>
      <c r="I2" s="880"/>
    </row>
    <row r="3" spans="1:12" ht="11.25" customHeight="1">
      <c r="A3" s="750"/>
      <c r="B3" s="880"/>
      <c r="C3" s="880"/>
      <c r="D3" s="880"/>
      <c r="E3" s="880"/>
      <c r="F3" s="880"/>
      <c r="G3" s="880"/>
      <c r="H3" s="880"/>
      <c r="I3" s="880"/>
    </row>
    <row r="4" spans="1:12" ht="11.25" customHeight="1">
      <c r="A4" s="750"/>
      <c r="B4" s="752"/>
      <c r="C4" s="752"/>
      <c r="D4" s="752"/>
      <c r="E4" s="752"/>
      <c r="F4" s="752"/>
      <c r="G4" s="752"/>
      <c r="H4" s="752"/>
      <c r="I4" s="883" t="s">
        <v>362</v>
      </c>
    </row>
    <row r="5" spans="1:12" ht="11.25" customHeight="1">
      <c r="A5" s="750"/>
      <c r="B5" s="752"/>
      <c r="C5" s="752"/>
      <c r="D5" s="752"/>
      <c r="E5" s="752"/>
      <c r="F5" s="752"/>
      <c r="G5" s="752"/>
      <c r="H5" s="752"/>
      <c r="I5" s="883"/>
    </row>
    <row r="6" spans="1:12" ht="27" customHeight="1" thickBot="1">
      <c r="A6" s="750"/>
      <c r="B6" s="780" t="s">
        <v>445</v>
      </c>
      <c r="C6" s="753" t="s">
        <v>137</v>
      </c>
      <c r="D6" s="753"/>
      <c r="E6" s="753"/>
      <c r="F6" s="753"/>
      <c r="G6" s="881" t="s">
        <v>140</v>
      </c>
      <c r="H6" s="881"/>
      <c r="I6" s="753" t="s">
        <v>443</v>
      </c>
    </row>
    <row r="7" spans="1:12" ht="31.5" customHeight="1">
      <c r="A7" s="750"/>
      <c r="B7" s="754"/>
      <c r="C7" s="754" t="s">
        <v>363</v>
      </c>
      <c r="D7" s="754" t="s">
        <v>340</v>
      </c>
      <c r="E7" s="754" t="s">
        <v>364</v>
      </c>
      <c r="F7" s="755" t="s">
        <v>181</v>
      </c>
      <c r="G7" s="754" t="s">
        <v>78</v>
      </c>
      <c r="H7" s="754" t="s">
        <v>115</v>
      </c>
      <c r="I7" s="756"/>
    </row>
    <row r="8" spans="1:12" ht="24.75" customHeight="1">
      <c r="A8" s="750"/>
      <c r="B8" s="757"/>
      <c r="C8" s="758" t="s">
        <v>365</v>
      </c>
      <c r="D8" s="758" t="s">
        <v>341</v>
      </c>
      <c r="E8" s="758" t="s">
        <v>366</v>
      </c>
      <c r="F8" s="759" t="s">
        <v>130</v>
      </c>
      <c r="G8" s="759" t="s">
        <v>129</v>
      </c>
      <c r="H8" s="760" t="s">
        <v>126</v>
      </c>
      <c r="I8" s="652"/>
    </row>
    <row r="9" spans="1:12" ht="19.5" customHeight="1" thickBot="1">
      <c r="A9" s="750"/>
      <c r="B9" s="761" t="s">
        <v>49</v>
      </c>
      <c r="C9" s="762" t="s">
        <v>120</v>
      </c>
      <c r="D9" s="762" t="s">
        <v>120</v>
      </c>
      <c r="E9" s="762" t="s">
        <v>120</v>
      </c>
      <c r="F9" s="761" t="s">
        <v>119</v>
      </c>
      <c r="G9" s="761" t="s">
        <v>119</v>
      </c>
      <c r="H9" s="761"/>
      <c r="I9" s="763" t="s">
        <v>25</v>
      </c>
    </row>
    <row r="10" spans="1:12" ht="19.5" customHeight="1" thickTop="1">
      <c r="A10" s="750"/>
      <c r="B10" s="738" t="s">
        <v>329</v>
      </c>
      <c r="C10" s="764">
        <v>1</v>
      </c>
      <c r="D10" s="765">
        <v>2</v>
      </c>
      <c r="E10" s="765">
        <v>0</v>
      </c>
      <c r="F10" s="766">
        <v>6221</v>
      </c>
      <c r="G10" s="766">
        <v>9480</v>
      </c>
      <c r="H10" s="766">
        <v>3433956.7</v>
      </c>
      <c r="I10" s="767"/>
      <c r="L10" s="599"/>
    </row>
    <row r="11" spans="1:12" s="615" customFormat="1" ht="19.5" customHeight="1">
      <c r="A11" s="768"/>
      <c r="B11" s="737" t="s">
        <v>3</v>
      </c>
      <c r="C11" s="739">
        <v>0</v>
      </c>
      <c r="D11" s="769">
        <v>0</v>
      </c>
      <c r="E11" s="769">
        <v>5</v>
      </c>
      <c r="F11" s="770">
        <v>1083</v>
      </c>
      <c r="G11" s="770">
        <v>937</v>
      </c>
      <c r="H11" s="770">
        <v>407835</v>
      </c>
      <c r="I11" s="770" t="s">
        <v>379</v>
      </c>
      <c r="L11" s="599"/>
    </row>
    <row r="12" spans="1:12" s="615" customFormat="1" ht="19.5" customHeight="1">
      <c r="A12" s="768"/>
      <c r="B12" s="738" t="s">
        <v>4</v>
      </c>
      <c r="C12" s="764">
        <v>3</v>
      </c>
      <c r="D12" s="771">
        <v>3</v>
      </c>
      <c r="E12" s="771">
        <v>6</v>
      </c>
      <c r="F12" s="772">
        <v>11667</v>
      </c>
      <c r="G12" s="772">
        <v>27173</v>
      </c>
      <c r="H12" s="766">
        <v>12344714.5</v>
      </c>
      <c r="I12" s="767" t="s">
        <v>15</v>
      </c>
      <c r="L12" s="599"/>
    </row>
    <row r="13" spans="1:12" s="615" customFormat="1" ht="18" customHeight="1">
      <c r="A13" s="768"/>
      <c r="B13" s="737" t="s">
        <v>5</v>
      </c>
      <c r="C13" s="739">
        <v>0</v>
      </c>
      <c r="D13" s="773">
        <v>0</v>
      </c>
      <c r="E13" s="773">
        <v>1</v>
      </c>
      <c r="F13" s="774">
        <v>3131</v>
      </c>
      <c r="G13" s="774">
        <v>2216</v>
      </c>
      <c r="H13" s="775">
        <v>805051.5</v>
      </c>
      <c r="I13" s="770" t="s">
        <v>16</v>
      </c>
      <c r="L13" s="599"/>
    </row>
    <row r="14" spans="1:12" s="615" customFormat="1" ht="18" customHeight="1">
      <c r="A14" s="768"/>
      <c r="B14" s="738" t="s">
        <v>7</v>
      </c>
      <c r="C14" s="764">
        <v>0</v>
      </c>
      <c r="D14" s="771">
        <v>0</v>
      </c>
      <c r="E14" s="771">
        <v>1</v>
      </c>
      <c r="F14" s="772">
        <v>2019</v>
      </c>
      <c r="G14" s="772">
        <v>593</v>
      </c>
      <c r="H14" s="766">
        <v>296460</v>
      </c>
      <c r="I14" s="776" t="s">
        <v>23</v>
      </c>
      <c r="L14" s="599"/>
    </row>
    <row r="15" spans="1:12" s="615" customFormat="1" ht="15" customHeight="1">
      <c r="A15" s="768"/>
      <c r="B15" s="737" t="s">
        <v>8</v>
      </c>
      <c r="C15" s="739">
        <v>0</v>
      </c>
      <c r="D15" s="773">
        <v>1</v>
      </c>
      <c r="E15" s="773">
        <v>1</v>
      </c>
      <c r="F15" s="774">
        <v>1462</v>
      </c>
      <c r="G15" s="774">
        <v>3206</v>
      </c>
      <c r="H15" s="775">
        <v>1010646</v>
      </c>
      <c r="I15" s="770" t="s">
        <v>14</v>
      </c>
      <c r="L15" s="599"/>
    </row>
    <row r="16" spans="1:12" s="615" customFormat="1" ht="15" customHeight="1">
      <c r="A16" s="768"/>
      <c r="B16" s="738" t="s">
        <v>9</v>
      </c>
      <c r="C16" s="764">
        <v>0</v>
      </c>
      <c r="D16" s="771">
        <v>0</v>
      </c>
      <c r="E16" s="771">
        <v>1</v>
      </c>
      <c r="F16" s="772">
        <v>1797</v>
      </c>
      <c r="G16" s="772">
        <v>225</v>
      </c>
      <c r="H16" s="766">
        <v>78750</v>
      </c>
      <c r="I16" s="767" t="s">
        <v>18</v>
      </c>
      <c r="L16" s="599"/>
    </row>
    <row r="17" spans="1:12" s="615" customFormat="1" ht="17.25" customHeight="1">
      <c r="A17" s="768"/>
      <c r="B17" s="737" t="s">
        <v>10</v>
      </c>
      <c r="C17" s="739">
        <v>0</v>
      </c>
      <c r="D17" s="773">
        <v>0</v>
      </c>
      <c r="E17" s="773">
        <v>3</v>
      </c>
      <c r="F17" s="774">
        <v>4666</v>
      </c>
      <c r="G17" s="774">
        <v>2584</v>
      </c>
      <c r="H17" s="775">
        <v>904298.5</v>
      </c>
      <c r="I17" s="777" t="s">
        <v>20</v>
      </c>
      <c r="L17" s="599"/>
    </row>
    <row r="18" spans="1:12" s="615" customFormat="1" ht="15" customHeight="1" thickBot="1">
      <c r="A18" s="768"/>
      <c r="B18" s="738" t="s">
        <v>13</v>
      </c>
      <c r="C18" s="764">
        <v>0</v>
      </c>
      <c r="D18" s="771">
        <v>7</v>
      </c>
      <c r="E18" s="771">
        <v>1</v>
      </c>
      <c r="F18" s="772">
        <v>2313</v>
      </c>
      <c r="G18" s="772">
        <v>3577</v>
      </c>
      <c r="H18" s="766">
        <v>1455636</v>
      </c>
      <c r="I18" s="767" t="s">
        <v>22</v>
      </c>
      <c r="L18" s="599"/>
    </row>
    <row r="19" spans="1:12" s="615" customFormat="1" ht="19.5" customHeight="1" thickBot="1">
      <c r="A19" s="768"/>
      <c r="B19" s="721" t="s">
        <v>0</v>
      </c>
      <c r="C19" s="778">
        <f>SUM(C10:C18)</f>
        <v>4</v>
      </c>
      <c r="D19" s="778">
        <f t="shared" ref="D19:H19" si="0">SUM(D10:D18)</f>
        <v>13</v>
      </c>
      <c r="E19" s="778">
        <f t="shared" si="0"/>
        <v>19</v>
      </c>
      <c r="F19" s="779">
        <f t="shared" si="0"/>
        <v>34359</v>
      </c>
      <c r="G19" s="779">
        <f t="shared" si="0"/>
        <v>49991</v>
      </c>
      <c r="H19" s="779">
        <f t="shared" si="0"/>
        <v>20737348.199999999</v>
      </c>
      <c r="I19" s="723" t="s">
        <v>1</v>
      </c>
    </row>
    <row r="20" spans="1:12" ht="16.5" thickTop="1">
      <c r="B20" s="875" t="s">
        <v>446</v>
      </c>
      <c r="C20" s="875"/>
      <c r="D20" s="875"/>
      <c r="E20" s="875"/>
      <c r="F20" s="875"/>
      <c r="G20" s="737"/>
      <c r="H20" s="652"/>
      <c r="I20" s="652"/>
    </row>
    <row r="21" spans="1:12" ht="15.75">
      <c r="B21" s="737"/>
      <c r="C21" s="737"/>
      <c r="D21" s="737"/>
      <c r="E21" s="737"/>
      <c r="F21" s="737"/>
      <c r="G21" s="737"/>
      <c r="H21" s="652"/>
      <c r="I21" s="652"/>
    </row>
    <row r="22" spans="1:12" ht="15">
      <c r="I22" s="619"/>
    </row>
    <row r="23" spans="1:12">
      <c r="D23" s="599"/>
    </row>
  </sheetData>
  <mergeCells count="5">
    <mergeCell ref="B2:I3"/>
    <mergeCell ref="G6:H6"/>
    <mergeCell ref="B1:H1"/>
    <mergeCell ref="I4:I5"/>
    <mergeCell ref="B20:F20"/>
  </mergeCells>
  <phoneticPr fontId="3" type="noConversion"/>
  <printOptions horizontalCentered="1" verticalCentered="1"/>
  <pageMargins left="0.23622047244094491" right="0.27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2D050"/>
  </sheetPr>
  <dimension ref="A1:H13"/>
  <sheetViews>
    <sheetView rightToLeft="1" showWhiteSpace="0" zoomScaleNormal="100" zoomScaleSheetLayoutView="100" workbookViewId="0">
      <selection activeCell="E16" sqref="E16"/>
    </sheetView>
  </sheetViews>
  <sheetFormatPr defaultRowHeight="12.75"/>
  <cols>
    <col min="1" max="1" width="0.42578125" style="593" customWidth="1"/>
    <col min="2" max="2" width="16" style="593" customWidth="1"/>
    <col min="3" max="3" width="13.140625" style="593" customWidth="1"/>
    <col min="4" max="5" width="15.42578125" style="593" customWidth="1"/>
    <col min="6" max="6" width="18.5703125" style="593" customWidth="1"/>
    <col min="7" max="7" width="18.140625" style="593" customWidth="1"/>
    <col min="8" max="8" width="17.85546875" style="593" customWidth="1"/>
    <col min="9" max="16384" width="9.140625" style="593"/>
  </cols>
  <sheetData>
    <row r="1" spans="1:8" ht="21" customHeight="1">
      <c r="A1" s="654"/>
      <c r="B1" s="855" t="s">
        <v>449</v>
      </c>
      <c r="C1" s="855"/>
      <c r="D1" s="855"/>
      <c r="E1" s="855"/>
      <c r="F1" s="855"/>
      <c r="G1" s="855"/>
      <c r="H1" s="855"/>
    </row>
    <row r="2" spans="1:8" ht="15" customHeight="1">
      <c r="A2" s="654"/>
      <c r="B2" s="858" t="s">
        <v>395</v>
      </c>
      <c r="C2" s="858"/>
      <c r="D2" s="858"/>
      <c r="E2" s="858"/>
      <c r="F2" s="858"/>
      <c r="G2" s="858"/>
      <c r="H2" s="858"/>
    </row>
    <row r="3" spans="1:8" ht="15">
      <c r="A3" s="654"/>
      <c r="B3" s="858"/>
      <c r="C3" s="858"/>
      <c r="D3" s="858"/>
      <c r="E3" s="858"/>
      <c r="F3" s="858"/>
      <c r="G3" s="858"/>
      <c r="H3" s="858"/>
    </row>
    <row r="4" spans="1:8" ht="15">
      <c r="A4" s="654"/>
      <c r="B4" s="855"/>
      <c r="C4" s="855"/>
      <c r="D4" s="855"/>
      <c r="E4" s="855"/>
      <c r="F4" s="855"/>
      <c r="G4" s="855"/>
      <c r="H4" s="855" t="s">
        <v>194</v>
      </c>
    </row>
    <row r="5" spans="1:8" ht="21" customHeight="1" thickBot="1">
      <c r="A5" s="654"/>
      <c r="B5" s="799" t="s">
        <v>448</v>
      </c>
      <c r="C5" s="791" t="s">
        <v>354</v>
      </c>
      <c r="D5" s="791"/>
      <c r="E5" s="791"/>
      <c r="F5" s="885" t="s">
        <v>299</v>
      </c>
      <c r="G5" s="885"/>
      <c r="H5" s="792" t="s">
        <v>447</v>
      </c>
    </row>
    <row r="6" spans="1:8" ht="36" customHeight="1">
      <c r="A6" s="654"/>
      <c r="B6" s="588"/>
      <c r="C6" s="588" t="s">
        <v>352</v>
      </c>
      <c r="D6" s="655" t="s">
        <v>340</v>
      </c>
      <c r="E6" s="655" t="s">
        <v>375</v>
      </c>
      <c r="F6" s="655" t="s">
        <v>78</v>
      </c>
      <c r="G6" s="655" t="s">
        <v>116</v>
      </c>
      <c r="H6" s="588"/>
    </row>
    <row r="7" spans="1:8" ht="15" customHeight="1">
      <c r="A7" s="654"/>
      <c r="B7" s="654"/>
      <c r="C7" s="697" t="s">
        <v>365</v>
      </c>
      <c r="D7" s="573" t="s">
        <v>341</v>
      </c>
      <c r="E7" s="573" t="s">
        <v>366</v>
      </c>
      <c r="F7" s="573" t="s">
        <v>129</v>
      </c>
      <c r="G7" s="648" t="s">
        <v>126</v>
      </c>
      <c r="H7" s="654"/>
    </row>
    <row r="8" spans="1:8" ht="15" customHeight="1" thickBot="1">
      <c r="A8" s="884" t="s">
        <v>131</v>
      </c>
      <c r="B8" s="884"/>
      <c r="C8" s="793" t="s">
        <v>120</v>
      </c>
      <c r="D8" s="793" t="s">
        <v>120</v>
      </c>
      <c r="E8" s="793" t="s">
        <v>120</v>
      </c>
      <c r="F8" s="793" t="s">
        <v>119</v>
      </c>
      <c r="G8" s="736"/>
      <c r="H8" s="577" t="s">
        <v>25</v>
      </c>
    </row>
    <row r="9" spans="1:8" ht="15" customHeight="1" thickTop="1">
      <c r="A9" s="654"/>
      <c r="B9" s="745" t="s">
        <v>4</v>
      </c>
      <c r="C9" s="794">
        <v>1</v>
      </c>
      <c r="D9" s="579">
        <v>0</v>
      </c>
      <c r="E9" s="579">
        <v>1</v>
      </c>
      <c r="F9" s="579">
        <v>244</v>
      </c>
      <c r="G9" s="579">
        <v>97696</v>
      </c>
      <c r="H9" s="587" t="s">
        <v>16</v>
      </c>
    </row>
    <row r="10" spans="1:8" ht="15" customHeight="1" thickBot="1">
      <c r="A10" s="654"/>
      <c r="B10" s="738" t="s">
        <v>13</v>
      </c>
      <c r="C10" s="795">
        <v>0</v>
      </c>
      <c r="D10" s="583">
        <v>1</v>
      </c>
      <c r="E10" s="583">
        <v>0</v>
      </c>
      <c r="F10" s="682">
        <v>150</v>
      </c>
      <c r="G10" s="682">
        <v>60000</v>
      </c>
      <c r="H10" s="684" t="s">
        <v>22</v>
      </c>
    </row>
    <row r="11" spans="1:8" ht="15.75" customHeight="1" thickBot="1">
      <c r="A11" s="796"/>
      <c r="B11" s="746" t="s">
        <v>0</v>
      </c>
      <c r="C11" s="797">
        <f>SUM(C9:C10)</f>
        <v>1</v>
      </c>
      <c r="D11" s="797">
        <f t="shared" ref="D11:G11" si="0">SUM(D9:D10)</f>
        <v>1</v>
      </c>
      <c r="E11" s="797">
        <f t="shared" si="0"/>
        <v>1</v>
      </c>
      <c r="F11" s="797">
        <f t="shared" si="0"/>
        <v>394</v>
      </c>
      <c r="G11" s="798">
        <f t="shared" si="0"/>
        <v>157696</v>
      </c>
      <c r="H11" s="797" t="s">
        <v>1</v>
      </c>
    </row>
    <row r="12" spans="1:8" ht="15.75" thickTop="1">
      <c r="B12" s="875" t="s">
        <v>446</v>
      </c>
      <c r="C12" s="875"/>
      <c r="D12" s="875"/>
      <c r="E12" s="875"/>
      <c r="F12" s="625"/>
      <c r="G12" s="625"/>
      <c r="H12" s="619"/>
    </row>
    <row r="13" spans="1:8">
      <c r="B13" s="625"/>
      <c r="C13" s="625"/>
      <c r="D13" s="625"/>
      <c r="E13" s="625"/>
      <c r="F13" s="625"/>
      <c r="G13" s="625"/>
      <c r="H13" s="625"/>
    </row>
  </sheetData>
  <mergeCells count="6">
    <mergeCell ref="B12:E12"/>
    <mergeCell ref="A8:B8"/>
    <mergeCell ref="B1:H1"/>
    <mergeCell ref="B2:H3"/>
    <mergeCell ref="F5:G5"/>
    <mergeCell ref="B4:H4"/>
  </mergeCells>
  <phoneticPr fontId="3" type="noConversion"/>
  <printOptions horizontalCentered="1" verticalCentered="1"/>
  <pageMargins left="0.23622047244094491" right="0.23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92D050"/>
  </sheetPr>
  <dimension ref="A1:Q40"/>
  <sheetViews>
    <sheetView rightToLeft="1" zoomScale="80" zoomScaleNormal="80" zoomScaleSheetLayoutView="124" zoomScalePageLayoutView="91" workbookViewId="0">
      <selection sqref="A1:K1"/>
    </sheetView>
  </sheetViews>
  <sheetFormatPr defaultRowHeight="12.75"/>
  <cols>
    <col min="1" max="1" width="9.28515625" style="593" customWidth="1"/>
    <col min="2" max="2" width="7.85546875" style="593" bestFit="1" customWidth="1"/>
    <col min="3" max="3" width="14.85546875" style="593" customWidth="1"/>
    <col min="4" max="4" width="8" style="593" customWidth="1"/>
    <col min="5" max="5" width="13.85546875" style="593" customWidth="1"/>
    <col min="6" max="6" width="8.7109375" style="593" customWidth="1"/>
    <col min="7" max="7" width="14.28515625" style="593" customWidth="1"/>
    <col min="8" max="8" width="9" style="593" customWidth="1"/>
    <col min="9" max="9" width="13.42578125" style="593" customWidth="1"/>
    <col min="10" max="10" width="14.140625" style="622" customWidth="1"/>
    <col min="11" max="11" width="15.140625" style="593" customWidth="1"/>
    <col min="12" max="12" width="14.5703125" style="593" customWidth="1"/>
    <col min="13" max="13" width="9.140625" style="593"/>
    <col min="14" max="15" width="14.28515625" style="593" bestFit="1" customWidth="1"/>
    <col min="16" max="16" width="13" style="593" bestFit="1" customWidth="1"/>
    <col min="17" max="17" width="14.28515625" style="593" bestFit="1" customWidth="1"/>
    <col min="18" max="16384" width="9.140625" style="593"/>
  </cols>
  <sheetData>
    <row r="1" spans="1:17" ht="16.5" customHeight="1">
      <c r="A1" s="855" t="s">
        <v>452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682" t="s">
        <v>197</v>
      </c>
    </row>
    <row r="2" spans="1:17" ht="15" customHeight="1">
      <c r="A2" s="872" t="s">
        <v>394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598" t="s">
        <v>193</v>
      </c>
    </row>
    <row r="3" spans="1:17" ht="19.5" customHeight="1" thickBot="1">
      <c r="A3" s="887" t="s">
        <v>451</v>
      </c>
      <c r="B3" s="887"/>
      <c r="C3" s="595"/>
      <c r="D3" s="595"/>
      <c r="E3" s="595"/>
      <c r="F3" s="627"/>
      <c r="G3" s="627"/>
      <c r="H3" s="627"/>
      <c r="I3" s="595"/>
      <c r="J3" s="713"/>
      <c r="K3" s="595"/>
      <c r="L3" s="595" t="s">
        <v>450</v>
      </c>
    </row>
    <row r="4" spans="1:17" s="622" customFormat="1" ht="25.5" customHeight="1">
      <c r="A4" s="717"/>
      <c r="B4" s="888" t="s">
        <v>84</v>
      </c>
      <c r="C4" s="888"/>
      <c r="D4" s="888" t="s">
        <v>85</v>
      </c>
      <c r="E4" s="888"/>
      <c r="F4" s="888" t="s">
        <v>86</v>
      </c>
      <c r="G4" s="888"/>
      <c r="H4" s="800"/>
      <c r="I4" s="800" t="s">
        <v>0</v>
      </c>
      <c r="J4" s="889" t="s">
        <v>374</v>
      </c>
      <c r="K4" s="889"/>
      <c r="L4" s="717"/>
    </row>
    <row r="5" spans="1:17" ht="25.5" customHeight="1">
      <c r="B5" s="886" t="s">
        <v>87</v>
      </c>
      <c r="C5" s="886"/>
      <c r="D5" s="886" t="s">
        <v>88</v>
      </c>
      <c r="E5" s="886"/>
      <c r="F5" s="886" t="s">
        <v>89</v>
      </c>
      <c r="G5" s="886"/>
      <c r="H5" s="801"/>
      <c r="I5" s="801" t="s">
        <v>347</v>
      </c>
      <c r="J5" s="801"/>
      <c r="K5" s="801" t="s">
        <v>347</v>
      </c>
      <c r="L5" s="702"/>
    </row>
    <row r="6" spans="1:17" ht="21.75" customHeight="1">
      <c r="A6" s="802"/>
      <c r="B6" s="803" t="s">
        <v>328</v>
      </c>
      <c r="C6" s="803" t="s">
        <v>90</v>
      </c>
      <c r="D6" s="803" t="s">
        <v>64</v>
      </c>
      <c r="E6" s="693" t="s">
        <v>90</v>
      </c>
      <c r="F6" s="803" t="s">
        <v>328</v>
      </c>
      <c r="G6" s="803" t="s">
        <v>90</v>
      </c>
      <c r="H6" s="803" t="s">
        <v>350</v>
      </c>
      <c r="I6" s="803" t="s">
        <v>90</v>
      </c>
      <c r="J6" s="803" t="s">
        <v>342</v>
      </c>
      <c r="K6" s="803" t="s">
        <v>90</v>
      </c>
      <c r="L6" s="700"/>
    </row>
    <row r="7" spans="1:17" ht="27" customHeight="1" thickBot="1">
      <c r="A7" s="804" t="s">
        <v>48</v>
      </c>
      <c r="B7" s="805" t="s">
        <v>120</v>
      </c>
      <c r="C7" s="805" t="s">
        <v>91</v>
      </c>
      <c r="D7" s="805" t="s">
        <v>120</v>
      </c>
      <c r="E7" s="805" t="s">
        <v>91</v>
      </c>
      <c r="F7" s="806" t="s">
        <v>120</v>
      </c>
      <c r="G7" s="805" t="s">
        <v>91</v>
      </c>
      <c r="H7" s="805" t="s">
        <v>120</v>
      </c>
      <c r="I7" s="805" t="s">
        <v>91</v>
      </c>
      <c r="J7" s="805" t="s">
        <v>348</v>
      </c>
      <c r="K7" s="805" t="s">
        <v>91</v>
      </c>
      <c r="L7" s="804" t="s">
        <v>25</v>
      </c>
    </row>
    <row r="8" spans="1:17" ht="15" customHeight="1" thickTop="1">
      <c r="A8" s="700" t="s">
        <v>329</v>
      </c>
      <c r="B8" s="584">
        <v>430</v>
      </c>
      <c r="C8" s="682">
        <v>1354708</v>
      </c>
      <c r="D8" s="682">
        <v>193</v>
      </c>
      <c r="E8" s="682">
        <v>1726789</v>
      </c>
      <c r="F8" s="682">
        <v>69</v>
      </c>
      <c r="G8" s="682">
        <v>1007716</v>
      </c>
      <c r="H8" s="682">
        <f>B8+D8+F8</f>
        <v>692</v>
      </c>
      <c r="I8" s="682">
        <f>C8+E8+G8</f>
        <v>4089213</v>
      </c>
      <c r="J8" s="682">
        <v>5937811</v>
      </c>
      <c r="K8" s="682">
        <f>I8+J8</f>
        <v>10027024</v>
      </c>
      <c r="L8" s="684" t="s">
        <v>379</v>
      </c>
      <c r="N8" s="599"/>
      <c r="O8" s="599"/>
      <c r="P8" s="599"/>
      <c r="Q8" s="599"/>
    </row>
    <row r="9" spans="1:17" s="604" customFormat="1" ht="15" customHeight="1">
      <c r="A9" s="702" t="s">
        <v>29</v>
      </c>
      <c r="B9" s="703">
        <v>1086</v>
      </c>
      <c r="C9" s="703">
        <v>4244535</v>
      </c>
      <c r="D9" s="703">
        <v>64</v>
      </c>
      <c r="E9" s="703">
        <v>564776</v>
      </c>
      <c r="F9" s="703">
        <v>156</v>
      </c>
      <c r="G9" s="703">
        <v>2326879</v>
      </c>
      <c r="H9" s="703">
        <f t="shared" ref="H9:H22" si="0">B9+D9+F9</f>
        <v>1306</v>
      </c>
      <c r="I9" s="703">
        <f t="shared" ref="I9:I22" si="1">C9+E9+G9</f>
        <v>7136190</v>
      </c>
      <c r="J9" s="703">
        <v>15910328</v>
      </c>
      <c r="K9" s="703">
        <f t="shared" ref="K9:K22" si="2">I9+J9</f>
        <v>23046518</v>
      </c>
      <c r="L9" s="597" t="s">
        <v>30</v>
      </c>
      <c r="N9" s="740"/>
      <c r="O9" s="740"/>
      <c r="P9" s="740"/>
      <c r="Q9" s="599"/>
    </row>
    <row r="10" spans="1:17" ht="15" customHeight="1">
      <c r="A10" s="569" t="s">
        <v>3</v>
      </c>
      <c r="B10" s="584">
        <v>2378</v>
      </c>
      <c r="C10" s="584">
        <v>7826242</v>
      </c>
      <c r="D10" s="584">
        <v>216</v>
      </c>
      <c r="E10" s="584">
        <v>1926110</v>
      </c>
      <c r="F10" s="584">
        <v>304</v>
      </c>
      <c r="G10" s="584">
        <v>6731501</v>
      </c>
      <c r="H10" s="682">
        <f t="shared" si="0"/>
        <v>2898</v>
      </c>
      <c r="I10" s="682">
        <f t="shared" si="1"/>
        <v>16483853</v>
      </c>
      <c r="J10" s="584">
        <v>100150403</v>
      </c>
      <c r="K10" s="682">
        <f t="shared" si="2"/>
        <v>116634256</v>
      </c>
      <c r="L10" s="684" t="s">
        <v>15</v>
      </c>
      <c r="N10" s="599"/>
      <c r="O10" s="599"/>
      <c r="P10" s="599"/>
      <c r="Q10" s="599"/>
    </row>
    <row r="11" spans="1:17" s="604" customFormat="1" ht="15" customHeight="1">
      <c r="A11" s="807" t="s">
        <v>315</v>
      </c>
      <c r="B11" s="703">
        <v>1071</v>
      </c>
      <c r="C11" s="703">
        <v>3096302</v>
      </c>
      <c r="D11" s="703">
        <v>91</v>
      </c>
      <c r="E11" s="703">
        <v>797152</v>
      </c>
      <c r="F11" s="703">
        <v>157</v>
      </c>
      <c r="G11" s="703">
        <v>3271316</v>
      </c>
      <c r="H11" s="703">
        <f t="shared" si="0"/>
        <v>1319</v>
      </c>
      <c r="I11" s="703">
        <f t="shared" si="1"/>
        <v>7164770</v>
      </c>
      <c r="J11" s="703">
        <v>6851127</v>
      </c>
      <c r="K11" s="703">
        <f t="shared" si="2"/>
        <v>14015897</v>
      </c>
      <c r="L11" s="597" t="s">
        <v>316</v>
      </c>
      <c r="N11" s="740"/>
      <c r="O11" s="740"/>
      <c r="P11" s="740"/>
      <c r="Q11" s="599"/>
    </row>
    <row r="12" spans="1:17" s="604" customFormat="1" ht="15" customHeight="1">
      <c r="A12" s="700" t="s">
        <v>4</v>
      </c>
      <c r="B12" s="418">
        <v>12038</v>
      </c>
      <c r="C12" s="584">
        <v>43465002</v>
      </c>
      <c r="D12" s="584">
        <v>943</v>
      </c>
      <c r="E12" s="584">
        <v>10228522</v>
      </c>
      <c r="F12" s="584">
        <v>1525</v>
      </c>
      <c r="G12" s="584">
        <v>33981996</v>
      </c>
      <c r="H12" s="682">
        <f t="shared" si="0"/>
        <v>14506</v>
      </c>
      <c r="I12" s="682">
        <f t="shared" si="1"/>
        <v>87675520</v>
      </c>
      <c r="J12" s="584">
        <v>349602264</v>
      </c>
      <c r="K12" s="682">
        <f t="shared" si="2"/>
        <v>437277784</v>
      </c>
      <c r="L12" s="701" t="s">
        <v>16</v>
      </c>
      <c r="N12" s="740"/>
      <c r="O12" s="740"/>
      <c r="P12" s="740"/>
      <c r="Q12" s="599"/>
    </row>
    <row r="13" spans="1:17" ht="15" customHeight="1">
      <c r="A13" s="702" t="s">
        <v>5</v>
      </c>
      <c r="B13" s="703">
        <v>1275</v>
      </c>
      <c r="C13" s="703">
        <v>4554441</v>
      </c>
      <c r="D13" s="703">
        <v>91</v>
      </c>
      <c r="E13" s="703">
        <v>932193.5</v>
      </c>
      <c r="F13" s="703">
        <v>150</v>
      </c>
      <c r="G13" s="703">
        <v>3353597</v>
      </c>
      <c r="H13" s="703">
        <f t="shared" si="0"/>
        <v>1516</v>
      </c>
      <c r="I13" s="703">
        <f t="shared" si="1"/>
        <v>8840231.5</v>
      </c>
      <c r="J13" s="703">
        <v>6620051</v>
      </c>
      <c r="K13" s="703">
        <f t="shared" si="2"/>
        <v>15460282.5</v>
      </c>
      <c r="L13" s="612" t="s">
        <v>23</v>
      </c>
      <c r="N13" s="599"/>
      <c r="O13" s="599"/>
      <c r="P13" s="599"/>
      <c r="Q13" s="599"/>
    </row>
    <row r="14" spans="1:17" s="604" customFormat="1" ht="15" customHeight="1">
      <c r="A14" s="700" t="s">
        <v>6</v>
      </c>
      <c r="B14" s="418">
        <v>2307</v>
      </c>
      <c r="C14" s="584">
        <v>8280383</v>
      </c>
      <c r="D14" s="584">
        <v>76</v>
      </c>
      <c r="E14" s="584">
        <v>679040</v>
      </c>
      <c r="F14" s="584">
        <v>303</v>
      </c>
      <c r="G14" s="584">
        <v>6714834</v>
      </c>
      <c r="H14" s="682">
        <f t="shared" si="0"/>
        <v>2686</v>
      </c>
      <c r="I14" s="682">
        <f t="shared" si="1"/>
        <v>15674257</v>
      </c>
      <c r="J14" s="584">
        <v>26426891</v>
      </c>
      <c r="K14" s="682">
        <f t="shared" si="2"/>
        <v>42101148</v>
      </c>
      <c r="L14" s="701" t="s">
        <v>380</v>
      </c>
      <c r="N14" s="740"/>
      <c r="O14" s="740"/>
      <c r="P14" s="740"/>
      <c r="Q14" s="599"/>
    </row>
    <row r="15" spans="1:17" ht="15" customHeight="1">
      <c r="A15" s="702" t="s">
        <v>11</v>
      </c>
      <c r="B15" s="703">
        <v>1374</v>
      </c>
      <c r="C15" s="703">
        <v>4904885</v>
      </c>
      <c r="D15" s="703">
        <v>255</v>
      </c>
      <c r="E15" s="703">
        <v>2639308</v>
      </c>
      <c r="F15" s="703">
        <v>189</v>
      </c>
      <c r="G15" s="703">
        <v>2520097</v>
      </c>
      <c r="H15" s="703">
        <f t="shared" si="0"/>
        <v>1818</v>
      </c>
      <c r="I15" s="703">
        <f t="shared" si="1"/>
        <v>10064290</v>
      </c>
      <c r="J15" s="703">
        <v>7551720</v>
      </c>
      <c r="K15" s="703">
        <f t="shared" si="2"/>
        <v>17616010</v>
      </c>
      <c r="L15" s="612" t="s">
        <v>21</v>
      </c>
      <c r="N15" s="599"/>
      <c r="O15" s="599"/>
      <c r="P15" s="599"/>
      <c r="Q15" s="599"/>
    </row>
    <row r="16" spans="1:17" s="604" customFormat="1" ht="15" customHeight="1">
      <c r="A16" s="700" t="s">
        <v>2</v>
      </c>
      <c r="B16" s="584">
        <v>478</v>
      </c>
      <c r="C16" s="584">
        <v>1716426</v>
      </c>
      <c r="D16" s="584">
        <v>54</v>
      </c>
      <c r="E16" s="584">
        <v>543677</v>
      </c>
      <c r="F16" s="584">
        <v>62</v>
      </c>
      <c r="G16" s="584">
        <v>913873</v>
      </c>
      <c r="H16" s="682">
        <f t="shared" si="0"/>
        <v>594</v>
      </c>
      <c r="I16" s="682">
        <f t="shared" si="1"/>
        <v>3173976</v>
      </c>
      <c r="J16" s="584">
        <v>1222188</v>
      </c>
      <c r="K16" s="682">
        <f t="shared" si="2"/>
        <v>4396164</v>
      </c>
      <c r="L16" s="808" t="s">
        <v>14</v>
      </c>
      <c r="N16" s="740"/>
      <c r="O16" s="740"/>
      <c r="P16" s="740"/>
      <c r="Q16" s="599"/>
    </row>
    <row r="17" spans="1:17" ht="15" customHeight="1">
      <c r="A17" s="702" t="s">
        <v>7</v>
      </c>
      <c r="B17" s="703">
        <v>2290</v>
      </c>
      <c r="C17" s="703">
        <v>8232138</v>
      </c>
      <c r="D17" s="703">
        <v>715</v>
      </c>
      <c r="E17" s="703">
        <v>7484061</v>
      </c>
      <c r="F17" s="703">
        <v>312</v>
      </c>
      <c r="G17" s="703">
        <v>6601242</v>
      </c>
      <c r="H17" s="703">
        <f t="shared" si="0"/>
        <v>3317</v>
      </c>
      <c r="I17" s="703">
        <f t="shared" si="1"/>
        <v>22317441</v>
      </c>
      <c r="J17" s="703">
        <v>31370437</v>
      </c>
      <c r="K17" s="703">
        <f t="shared" si="2"/>
        <v>53687878</v>
      </c>
      <c r="L17" s="612" t="s">
        <v>17</v>
      </c>
      <c r="N17" s="599"/>
      <c r="O17" s="599"/>
      <c r="P17" s="599"/>
      <c r="Q17" s="599"/>
    </row>
    <row r="18" spans="1:17" s="604" customFormat="1" ht="15" customHeight="1">
      <c r="A18" s="700" t="s">
        <v>8</v>
      </c>
      <c r="B18" s="584">
        <v>1211</v>
      </c>
      <c r="C18" s="584">
        <v>4385783</v>
      </c>
      <c r="D18" s="584">
        <v>60</v>
      </c>
      <c r="E18" s="584">
        <v>642631</v>
      </c>
      <c r="F18" s="584">
        <v>159</v>
      </c>
      <c r="G18" s="584">
        <v>3391388</v>
      </c>
      <c r="H18" s="682">
        <f t="shared" si="0"/>
        <v>1430</v>
      </c>
      <c r="I18" s="682">
        <f t="shared" si="1"/>
        <v>8419802</v>
      </c>
      <c r="J18" s="584">
        <v>20992</v>
      </c>
      <c r="K18" s="682">
        <f t="shared" si="2"/>
        <v>8440794</v>
      </c>
      <c r="L18" s="701" t="s">
        <v>18</v>
      </c>
      <c r="N18" s="740"/>
      <c r="O18" s="740"/>
      <c r="P18" s="740"/>
      <c r="Q18" s="599"/>
    </row>
    <row r="19" spans="1:17" ht="15" customHeight="1">
      <c r="A19" s="702" t="s">
        <v>9</v>
      </c>
      <c r="B19" s="703">
        <v>1434</v>
      </c>
      <c r="C19" s="703">
        <v>5181124</v>
      </c>
      <c r="D19" s="703">
        <v>60</v>
      </c>
      <c r="E19" s="703">
        <v>634092</v>
      </c>
      <c r="F19" s="703">
        <v>170</v>
      </c>
      <c r="G19" s="703">
        <v>3014706</v>
      </c>
      <c r="H19" s="703">
        <f t="shared" si="0"/>
        <v>1664</v>
      </c>
      <c r="I19" s="703">
        <f t="shared" si="1"/>
        <v>8829922</v>
      </c>
      <c r="J19" s="703">
        <v>5889919</v>
      </c>
      <c r="K19" s="703">
        <f t="shared" si="2"/>
        <v>14719841</v>
      </c>
      <c r="L19" s="612" t="s">
        <v>19</v>
      </c>
      <c r="N19" s="599"/>
      <c r="O19" s="599"/>
      <c r="P19" s="599"/>
      <c r="Q19" s="599"/>
    </row>
    <row r="20" spans="1:17" s="604" customFormat="1" ht="15" customHeight="1">
      <c r="A20" s="700" t="s">
        <v>10</v>
      </c>
      <c r="B20" s="584">
        <v>1452</v>
      </c>
      <c r="C20" s="584">
        <v>5244590</v>
      </c>
      <c r="D20" s="584">
        <v>38</v>
      </c>
      <c r="E20" s="584">
        <v>465247</v>
      </c>
      <c r="F20" s="584">
        <v>208</v>
      </c>
      <c r="G20" s="584">
        <v>3715842</v>
      </c>
      <c r="H20" s="682">
        <f t="shared" si="0"/>
        <v>1698</v>
      </c>
      <c r="I20" s="682">
        <f t="shared" si="1"/>
        <v>9425679</v>
      </c>
      <c r="J20" s="584">
        <v>18124342</v>
      </c>
      <c r="K20" s="682">
        <f t="shared" si="2"/>
        <v>27550021</v>
      </c>
      <c r="L20" s="701" t="s">
        <v>20</v>
      </c>
      <c r="N20" s="740"/>
      <c r="O20" s="740"/>
      <c r="P20" s="740"/>
      <c r="Q20" s="599"/>
    </row>
    <row r="21" spans="1:17" ht="15" customHeight="1">
      <c r="A21" s="578" t="s">
        <v>12</v>
      </c>
      <c r="B21" s="703">
        <v>473</v>
      </c>
      <c r="C21" s="703">
        <v>1768417</v>
      </c>
      <c r="D21" s="703">
        <v>6</v>
      </c>
      <c r="E21" s="703">
        <v>41867</v>
      </c>
      <c r="F21" s="703">
        <v>73</v>
      </c>
      <c r="G21" s="703">
        <v>1471343</v>
      </c>
      <c r="H21" s="703">
        <f t="shared" si="0"/>
        <v>552</v>
      </c>
      <c r="I21" s="703">
        <f t="shared" si="1"/>
        <v>3281627</v>
      </c>
      <c r="J21" s="703">
        <v>191800</v>
      </c>
      <c r="K21" s="703">
        <f t="shared" si="2"/>
        <v>3473427</v>
      </c>
      <c r="L21" s="587" t="s">
        <v>24</v>
      </c>
      <c r="N21" s="599"/>
      <c r="O21" s="599"/>
      <c r="P21" s="599"/>
      <c r="Q21" s="599"/>
    </row>
    <row r="22" spans="1:17" s="604" customFormat="1" ht="15" customHeight="1" thickBot="1">
      <c r="A22" s="700" t="s">
        <v>13</v>
      </c>
      <c r="B22" s="682">
        <v>3844</v>
      </c>
      <c r="C22" s="682">
        <v>13893333</v>
      </c>
      <c r="D22" s="682">
        <v>94</v>
      </c>
      <c r="E22" s="682">
        <v>1153535</v>
      </c>
      <c r="F22" s="682">
        <v>474</v>
      </c>
      <c r="G22" s="682">
        <v>7074211</v>
      </c>
      <c r="H22" s="682">
        <f t="shared" si="0"/>
        <v>4412</v>
      </c>
      <c r="I22" s="682">
        <f t="shared" si="1"/>
        <v>22121079</v>
      </c>
      <c r="J22" s="682">
        <v>39071911</v>
      </c>
      <c r="K22" s="682">
        <f t="shared" si="2"/>
        <v>61192990</v>
      </c>
      <c r="L22" s="701" t="s">
        <v>22</v>
      </c>
      <c r="N22" s="740"/>
      <c r="O22" s="740"/>
      <c r="P22" s="740"/>
      <c r="Q22" s="599"/>
    </row>
    <row r="23" spans="1:17" s="711" customFormat="1" ht="19.5" customHeight="1" thickBot="1">
      <c r="A23" s="809" t="s">
        <v>0</v>
      </c>
      <c r="B23" s="810">
        <f t="shared" ref="B23:K23" si="3">SUM(B8:B22)</f>
        <v>33141</v>
      </c>
      <c r="C23" s="810">
        <f t="shared" si="3"/>
        <v>118148309</v>
      </c>
      <c r="D23" s="810">
        <f t="shared" si="3"/>
        <v>2956</v>
      </c>
      <c r="E23" s="810">
        <f t="shared" si="3"/>
        <v>30459000.5</v>
      </c>
      <c r="F23" s="810">
        <f t="shared" si="3"/>
        <v>4311</v>
      </c>
      <c r="G23" s="810">
        <f t="shared" si="3"/>
        <v>86090541</v>
      </c>
      <c r="H23" s="810">
        <f t="shared" si="3"/>
        <v>40408</v>
      </c>
      <c r="I23" s="810">
        <f t="shared" si="3"/>
        <v>234697850.5</v>
      </c>
      <c r="J23" s="811">
        <f t="shared" si="3"/>
        <v>614942184</v>
      </c>
      <c r="K23" s="811">
        <f t="shared" si="3"/>
        <v>849640034.5</v>
      </c>
      <c r="L23" s="812" t="s">
        <v>1</v>
      </c>
    </row>
    <row r="24" spans="1:17">
      <c r="A24" s="621"/>
      <c r="B24" s="623"/>
      <c r="E24" s="599"/>
      <c r="I24" s="621"/>
      <c r="J24" s="813"/>
      <c r="K24" s="621"/>
      <c r="L24" s="621"/>
    </row>
    <row r="25" spans="1:17">
      <c r="A25" s="621"/>
      <c r="B25" s="599"/>
      <c r="E25" s="599"/>
    </row>
    <row r="26" spans="1:17" ht="15.75">
      <c r="B26" s="599"/>
      <c r="C26" s="621"/>
      <c r="E26" s="623"/>
      <c r="F26" s="621"/>
      <c r="G26" s="621"/>
      <c r="H26" s="411"/>
      <c r="I26" s="409"/>
      <c r="J26" s="409"/>
      <c r="K26" s="599"/>
    </row>
    <row r="27" spans="1:17" ht="15.75">
      <c r="B27" s="599"/>
      <c r="C27" s="621"/>
      <c r="E27" s="623"/>
      <c r="F27" s="621"/>
      <c r="G27" s="621"/>
      <c r="H27" s="411"/>
      <c r="I27" s="409"/>
      <c r="J27" s="409"/>
      <c r="K27" s="599"/>
    </row>
    <row r="28" spans="1:17" ht="15.75">
      <c r="B28" s="599"/>
      <c r="C28" s="621"/>
      <c r="E28" s="599"/>
      <c r="H28" s="411"/>
      <c r="I28" s="409"/>
      <c r="J28" s="409"/>
      <c r="K28" s="599"/>
    </row>
    <row r="29" spans="1:17" ht="15.75">
      <c r="B29" s="599"/>
      <c r="C29" s="621"/>
      <c r="E29" s="599"/>
      <c r="G29" s="613"/>
      <c r="H29" s="411"/>
      <c r="I29" s="409"/>
      <c r="J29" s="409"/>
      <c r="K29" s="599"/>
    </row>
    <row r="30" spans="1:17" ht="15.75">
      <c r="B30" s="599"/>
      <c r="C30" s="621"/>
      <c r="E30" s="814"/>
      <c r="H30" s="411"/>
      <c r="I30" s="409"/>
      <c r="J30" s="409"/>
      <c r="K30" s="599"/>
    </row>
    <row r="31" spans="1:17" ht="15.75">
      <c r="B31" s="599"/>
      <c r="C31" s="621"/>
      <c r="E31" s="599"/>
      <c r="H31" s="411"/>
      <c r="I31" s="409"/>
      <c r="J31" s="409"/>
      <c r="K31" s="599"/>
    </row>
    <row r="32" spans="1:17" ht="15.75">
      <c r="B32" s="599"/>
      <c r="C32" s="621"/>
      <c r="E32" s="599"/>
      <c r="H32" s="411"/>
      <c r="I32" s="409"/>
      <c r="J32" s="409"/>
      <c r="K32" s="599"/>
    </row>
    <row r="33" spans="2:11" ht="15.75">
      <c r="B33" s="599"/>
      <c r="C33" s="621"/>
      <c r="E33" s="599"/>
      <c r="H33" s="411"/>
      <c r="I33" s="409"/>
      <c r="J33" s="409"/>
      <c r="K33" s="599"/>
    </row>
    <row r="34" spans="2:11" ht="15.75">
      <c r="B34" s="599"/>
      <c r="C34" s="621"/>
      <c r="E34" s="599"/>
      <c r="H34" s="411"/>
      <c r="I34" s="409"/>
      <c r="J34" s="409"/>
      <c r="K34" s="599"/>
    </row>
    <row r="35" spans="2:11" ht="15.75">
      <c r="B35" s="599"/>
      <c r="C35" s="621"/>
      <c r="E35" s="599"/>
      <c r="H35" s="411"/>
      <c r="I35" s="409"/>
      <c r="J35" s="409"/>
      <c r="K35" s="599"/>
    </row>
    <row r="36" spans="2:11" ht="15.75">
      <c r="B36" s="599"/>
      <c r="C36" s="621"/>
      <c r="E36" s="599"/>
      <c r="H36" s="411"/>
      <c r="I36" s="409"/>
      <c r="J36" s="409"/>
      <c r="K36" s="599"/>
    </row>
    <row r="37" spans="2:11" ht="15.75">
      <c r="B37" s="599"/>
      <c r="C37" s="621"/>
      <c r="E37" s="599"/>
      <c r="H37" s="411"/>
      <c r="I37" s="409"/>
      <c r="J37" s="409"/>
      <c r="K37" s="599"/>
    </row>
    <row r="38" spans="2:11" ht="15.75">
      <c r="H38" s="411"/>
      <c r="I38" s="409"/>
      <c r="J38" s="409"/>
      <c r="K38" s="599"/>
    </row>
    <row r="39" spans="2:11" ht="15.75">
      <c r="H39" s="411"/>
      <c r="I39" s="409"/>
      <c r="J39" s="409"/>
      <c r="K39" s="599"/>
    </row>
    <row r="40" spans="2:11" ht="15.75">
      <c r="H40" s="411"/>
      <c r="I40" s="409"/>
      <c r="J40" s="409"/>
      <c r="K40" s="599"/>
    </row>
  </sheetData>
  <mergeCells count="10">
    <mergeCell ref="A1:K1"/>
    <mergeCell ref="A2:K2"/>
    <mergeCell ref="D5:E5"/>
    <mergeCell ref="F5:G5"/>
    <mergeCell ref="B5:C5"/>
    <mergeCell ref="A3:B3"/>
    <mergeCell ref="B4:C4"/>
    <mergeCell ref="D4:E4"/>
    <mergeCell ref="F4:G4"/>
    <mergeCell ref="J4:K4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  <rowBreaks count="1" manualBreakCount="1">
    <brk id="24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8:J49"/>
  <sheetViews>
    <sheetView rightToLeft="1" topLeftCell="A10" zoomScaleNormal="100" zoomScaleSheetLayoutView="100" workbookViewId="0">
      <selection sqref="A1:XFD1048576"/>
    </sheetView>
  </sheetViews>
  <sheetFormatPr defaultRowHeight="12.75"/>
  <cols>
    <col min="5" max="5" width="8.85546875" customWidth="1"/>
    <col min="6" max="6" width="8.140625" customWidth="1"/>
    <col min="13" max="13" width="9.85546875" customWidth="1"/>
  </cols>
  <sheetData>
    <row r="18" spans="1:10">
      <c r="C18" s="593"/>
    </row>
    <row r="25" spans="1:10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  <row r="34" spans="5:6">
      <c r="E34" s="890"/>
      <c r="F34" s="890"/>
    </row>
    <row r="39" spans="5:6" ht="17.25" customHeight="1"/>
    <row r="45" spans="5:6" ht="18.75" customHeight="1"/>
    <row r="46" spans="5:6" ht="18" customHeight="1"/>
    <row r="49" ht="27.75" customHeight="1"/>
  </sheetData>
  <mergeCells count="1">
    <mergeCell ref="E34:F34"/>
  </mergeCells>
  <phoneticPr fontId="3" type="noConversion"/>
  <printOptions horizontalCentered="1" verticalCentered="1"/>
  <pageMargins left="0.23622047244094491" right="0.85" top="1.1499999999999999" bottom="1.8110236220472442" header="0.19685039370078741" footer="0.78740157480314965"/>
  <pageSetup paperSize="9" scale="9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2D050"/>
  </sheetPr>
  <dimension ref="A1:N27"/>
  <sheetViews>
    <sheetView rightToLeft="1" zoomScale="90" zoomScaleNormal="90" zoomScaleSheetLayoutView="106" workbookViewId="0">
      <selection activeCell="J4" sqref="J4"/>
    </sheetView>
  </sheetViews>
  <sheetFormatPr defaultRowHeight="12.75"/>
  <cols>
    <col min="1" max="1" width="9.42578125" style="593" customWidth="1"/>
    <col min="2" max="2" width="11" style="593" customWidth="1"/>
    <col min="3" max="3" width="15.140625" style="593" customWidth="1"/>
    <col min="4" max="4" width="10.5703125" style="593" customWidth="1"/>
    <col min="5" max="5" width="12.28515625" style="593" bestFit="1" customWidth="1"/>
    <col min="6" max="6" width="8.7109375" style="593" customWidth="1"/>
    <col min="7" max="7" width="12.28515625" style="593" bestFit="1" customWidth="1"/>
    <col min="8" max="8" width="10.28515625" style="593" customWidth="1"/>
    <col min="9" max="9" width="14.5703125" style="593" customWidth="1"/>
    <col min="10" max="10" width="16" style="593" bestFit="1" customWidth="1"/>
    <col min="11" max="16384" width="9.140625" style="593"/>
  </cols>
  <sheetData>
    <row r="1" spans="1:10" ht="15" customHeight="1">
      <c r="A1" s="855" t="s">
        <v>454</v>
      </c>
      <c r="B1" s="855"/>
      <c r="C1" s="855"/>
      <c r="D1" s="855"/>
      <c r="E1" s="855"/>
      <c r="F1" s="855"/>
      <c r="G1" s="855"/>
      <c r="H1" s="855"/>
      <c r="I1" s="855"/>
      <c r="J1" s="815"/>
    </row>
    <row r="2" spans="1:10" ht="15" customHeight="1">
      <c r="A2" s="858" t="s">
        <v>393</v>
      </c>
      <c r="B2" s="858"/>
      <c r="C2" s="858"/>
      <c r="D2" s="858"/>
      <c r="E2" s="858"/>
      <c r="F2" s="858"/>
      <c r="G2" s="858"/>
      <c r="H2" s="858"/>
      <c r="I2" s="858"/>
      <c r="J2" s="816" t="s">
        <v>367</v>
      </c>
    </row>
    <row r="3" spans="1:10" ht="15">
      <c r="A3" s="574"/>
      <c r="B3" s="574"/>
      <c r="C3" s="574"/>
      <c r="D3" s="574"/>
      <c r="E3" s="574"/>
      <c r="F3" s="574"/>
      <c r="G3" s="574"/>
      <c r="H3" s="574"/>
      <c r="J3" s="619" t="s">
        <v>368</v>
      </c>
    </row>
    <row r="4" spans="1:10" ht="15.75" customHeight="1" thickBot="1">
      <c r="A4" s="866" t="s">
        <v>453</v>
      </c>
      <c r="B4" s="866"/>
      <c r="C4" s="817" t="s">
        <v>166</v>
      </c>
      <c r="D4" s="654"/>
      <c r="E4" s="654"/>
      <c r="F4" s="654"/>
      <c r="G4" s="654"/>
      <c r="H4" s="654"/>
      <c r="I4" s="570" t="s">
        <v>107</v>
      </c>
      <c r="J4" s="671" t="s">
        <v>455</v>
      </c>
    </row>
    <row r="5" spans="1:10" ht="15" customHeight="1">
      <c r="A5" s="715"/>
      <c r="B5" s="892" t="s">
        <v>198</v>
      </c>
      <c r="C5" s="892"/>
      <c r="D5" s="892" t="s">
        <v>199</v>
      </c>
      <c r="E5" s="892"/>
      <c r="F5" s="892" t="s">
        <v>345</v>
      </c>
      <c r="G5" s="892"/>
      <c r="H5" s="892" t="s">
        <v>317</v>
      </c>
      <c r="I5" s="892"/>
      <c r="J5" s="715"/>
    </row>
    <row r="6" spans="1:10" ht="33" customHeight="1">
      <c r="A6" s="694"/>
      <c r="B6" s="894" t="s">
        <v>154</v>
      </c>
      <c r="C6" s="894"/>
      <c r="D6" s="894" t="s">
        <v>232</v>
      </c>
      <c r="E6" s="894"/>
      <c r="F6" s="894" t="s">
        <v>255</v>
      </c>
      <c r="G6" s="894"/>
      <c r="H6" s="893" t="s">
        <v>1</v>
      </c>
      <c r="I6" s="893"/>
      <c r="J6" s="694"/>
    </row>
    <row r="7" spans="1:10" s="604" customFormat="1" ht="15" customHeight="1">
      <c r="A7" s="801"/>
      <c r="B7" s="702" t="s">
        <v>64</v>
      </c>
      <c r="C7" s="702" t="s">
        <v>216</v>
      </c>
      <c r="D7" s="702" t="s">
        <v>26</v>
      </c>
      <c r="E7" s="702" t="s">
        <v>216</v>
      </c>
      <c r="F7" s="702" t="s">
        <v>26</v>
      </c>
      <c r="G7" s="702" t="s">
        <v>216</v>
      </c>
      <c r="H7" s="702" t="s">
        <v>64</v>
      </c>
      <c r="I7" s="702" t="s">
        <v>216</v>
      </c>
      <c r="J7" s="801"/>
    </row>
    <row r="8" spans="1:10" s="711" customFormat="1" ht="15" customHeight="1" thickBot="1">
      <c r="A8" s="818" t="s">
        <v>55</v>
      </c>
      <c r="B8" s="819" t="s">
        <v>120</v>
      </c>
      <c r="C8" s="819" t="s">
        <v>28</v>
      </c>
      <c r="D8" s="819" t="s">
        <v>120</v>
      </c>
      <c r="E8" s="819" t="s">
        <v>28</v>
      </c>
      <c r="F8" s="819" t="s">
        <v>120</v>
      </c>
      <c r="G8" s="819" t="s">
        <v>28</v>
      </c>
      <c r="H8" s="819" t="s">
        <v>120</v>
      </c>
      <c r="I8" s="819" t="s">
        <v>28</v>
      </c>
      <c r="J8" s="820" t="s">
        <v>25</v>
      </c>
    </row>
    <row r="9" spans="1:10" s="658" customFormat="1" ht="15" customHeight="1" thickTop="1">
      <c r="A9" s="586" t="s">
        <v>329</v>
      </c>
      <c r="B9" s="580">
        <v>1944</v>
      </c>
      <c r="C9" s="579">
        <v>744552</v>
      </c>
      <c r="D9" s="651">
        <v>905</v>
      </c>
      <c r="E9" s="651">
        <v>259735</v>
      </c>
      <c r="F9" s="579">
        <v>556</v>
      </c>
      <c r="G9" s="580">
        <v>1023655</v>
      </c>
      <c r="H9" s="579">
        <f>B9+D9+F9</f>
        <v>3405</v>
      </c>
      <c r="I9" s="579">
        <f>C9+E9+G9</f>
        <v>2027942</v>
      </c>
      <c r="J9" s="587" t="s">
        <v>379</v>
      </c>
    </row>
    <row r="10" spans="1:10" s="658" customFormat="1" ht="15" customHeight="1">
      <c r="A10" s="588" t="s">
        <v>29</v>
      </c>
      <c r="B10" s="584">
        <v>0</v>
      </c>
      <c r="C10" s="583">
        <v>0</v>
      </c>
      <c r="D10" s="646">
        <v>0</v>
      </c>
      <c r="E10" s="646">
        <v>0</v>
      </c>
      <c r="F10" s="583">
        <v>0</v>
      </c>
      <c r="G10" s="584">
        <v>0</v>
      </c>
      <c r="H10" s="584">
        <f t="shared" ref="H10:H23" si="0">B10+D10+F10</f>
        <v>0</v>
      </c>
      <c r="I10" s="584">
        <f t="shared" ref="I10:I23" si="1">C10+E10+G10</f>
        <v>0</v>
      </c>
      <c r="J10" s="744" t="s">
        <v>30</v>
      </c>
    </row>
    <row r="11" spans="1:10" s="615" customFormat="1" ht="15">
      <c r="A11" s="586" t="s">
        <v>3</v>
      </c>
      <c r="B11" s="660">
        <v>35986</v>
      </c>
      <c r="C11" s="579">
        <v>5462672</v>
      </c>
      <c r="D11" s="651">
        <v>8246</v>
      </c>
      <c r="E11" s="651">
        <v>2580998</v>
      </c>
      <c r="F11" s="579">
        <v>2292</v>
      </c>
      <c r="G11" s="580">
        <v>5042323</v>
      </c>
      <c r="H11" s="579">
        <f t="shared" si="0"/>
        <v>46524</v>
      </c>
      <c r="I11" s="579">
        <f t="shared" si="1"/>
        <v>13085993</v>
      </c>
      <c r="J11" s="587" t="s">
        <v>15</v>
      </c>
    </row>
    <row r="12" spans="1:10" s="615" customFormat="1" ht="15" customHeight="1">
      <c r="A12" s="588" t="s">
        <v>315</v>
      </c>
      <c r="B12" s="659">
        <v>20712</v>
      </c>
      <c r="C12" s="583">
        <v>2796120</v>
      </c>
      <c r="D12" s="646">
        <v>2429</v>
      </c>
      <c r="E12" s="646">
        <v>535430</v>
      </c>
      <c r="F12" s="583">
        <v>1462</v>
      </c>
      <c r="G12" s="584">
        <v>3371493</v>
      </c>
      <c r="H12" s="584">
        <f t="shared" si="0"/>
        <v>24603</v>
      </c>
      <c r="I12" s="584">
        <f t="shared" si="1"/>
        <v>6703043</v>
      </c>
      <c r="J12" s="744" t="s">
        <v>316</v>
      </c>
    </row>
    <row r="13" spans="1:10" s="615" customFormat="1" ht="15" customHeight="1">
      <c r="A13" s="586" t="s">
        <v>4</v>
      </c>
      <c r="B13" s="660">
        <v>0</v>
      </c>
      <c r="C13" s="579">
        <v>0</v>
      </c>
      <c r="D13" s="651">
        <v>50099</v>
      </c>
      <c r="E13" s="651">
        <v>8366533</v>
      </c>
      <c r="F13" s="579">
        <v>499</v>
      </c>
      <c r="G13" s="580">
        <v>917162</v>
      </c>
      <c r="H13" s="579">
        <f t="shared" si="0"/>
        <v>50598</v>
      </c>
      <c r="I13" s="579">
        <f t="shared" si="1"/>
        <v>9283695</v>
      </c>
      <c r="J13" s="587" t="s">
        <v>16</v>
      </c>
    </row>
    <row r="14" spans="1:10" s="615" customFormat="1" ht="18" customHeight="1">
      <c r="A14" s="588" t="s">
        <v>5</v>
      </c>
      <c r="B14" s="659">
        <v>36641</v>
      </c>
      <c r="C14" s="583">
        <v>4891603</v>
      </c>
      <c r="D14" s="646">
        <v>17550</v>
      </c>
      <c r="E14" s="646">
        <v>3074823</v>
      </c>
      <c r="F14" s="583">
        <v>864</v>
      </c>
      <c r="G14" s="584">
        <v>1559520</v>
      </c>
      <c r="H14" s="584">
        <f t="shared" si="0"/>
        <v>55055</v>
      </c>
      <c r="I14" s="584">
        <f t="shared" si="1"/>
        <v>9525946</v>
      </c>
      <c r="J14" s="744" t="s">
        <v>23</v>
      </c>
    </row>
    <row r="15" spans="1:10" s="615" customFormat="1" ht="15">
      <c r="A15" s="586" t="s">
        <v>6</v>
      </c>
      <c r="B15" s="660">
        <v>41377</v>
      </c>
      <c r="C15" s="579">
        <v>5172175</v>
      </c>
      <c r="D15" s="651">
        <v>9552</v>
      </c>
      <c r="E15" s="651">
        <v>1585632</v>
      </c>
      <c r="F15" s="579">
        <v>980</v>
      </c>
      <c r="G15" s="580">
        <v>1808685</v>
      </c>
      <c r="H15" s="579">
        <f t="shared" si="0"/>
        <v>51909</v>
      </c>
      <c r="I15" s="579">
        <f t="shared" si="1"/>
        <v>8566492</v>
      </c>
      <c r="J15" s="587" t="s">
        <v>380</v>
      </c>
    </row>
    <row r="16" spans="1:10" s="615" customFormat="1" ht="15">
      <c r="A16" s="588" t="s">
        <v>11</v>
      </c>
      <c r="B16" s="659">
        <v>40940</v>
      </c>
      <c r="C16" s="583">
        <v>5133879</v>
      </c>
      <c r="D16" s="646">
        <v>502</v>
      </c>
      <c r="E16" s="646">
        <v>87850</v>
      </c>
      <c r="F16" s="583">
        <v>0</v>
      </c>
      <c r="G16" s="584">
        <v>0</v>
      </c>
      <c r="H16" s="584">
        <f t="shared" si="0"/>
        <v>41442</v>
      </c>
      <c r="I16" s="584">
        <f t="shared" si="1"/>
        <v>5221729</v>
      </c>
      <c r="J16" s="744" t="s">
        <v>21</v>
      </c>
    </row>
    <row r="17" spans="1:14" s="615" customFormat="1" ht="15">
      <c r="A17" s="586" t="s">
        <v>2</v>
      </c>
      <c r="B17" s="660">
        <v>9431</v>
      </c>
      <c r="C17" s="579">
        <v>2105067</v>
      </c>
      <c r="D17" s="651">
        <v>11864</v>
      </c>
      <c r="E17" s="651">
        <v>2740584</v>
      </c>
      <c r="F17" s="579">
        <v>228</v>
      </c>
      <c r="G17" s="580">
        <v>491340</v>
      </c>
      <c r="H17" s="579">
        <f t="shared" si="0"/>
        <v>21523</v>
      </c>
      <c r="I17" s="579">
        <f t="shared" si="1"/>
        <v>5336991</v>
      </c>
      <c r="J17" s="587" t="s">
        <v>14</v>
      </c>
    </row>
    <row r="18" spans="1:14" s="615" customFormat="1" ht="15">
      <c r="A18" s="588" t="s">
        <v>7</v>
      </c>
      <c r="B18" s="659">
        <v>60842</v>
      </c>
      <c r="C18" s="584">
        <f>B18*134</f>
        <v>8152828</v>
      </c>
      <c r="D18" s="646">
        <v>3156</v>
      </c>
      <c r="E18" s="646">
        <v>558612</v>
      </c>
      <c r="F18" s="583">
        <v>955</v>
      </c>
      <c r="G18" s="584">
        <v>1755290</v>
      </c>
      <c r="H18" s="584">
        <f t="shared" si="0"/>
        <v>64953</v>
      </c>
      <c r="I18" s="584">
        <f t="shared" si="1"/>
        <v>10466730</v>
      </c>
      <c r="J18" s="744" t="s">
        <v>17</v>
      </c>
    </row>
    <row r="19" spans="1:14" s="615" customFormat="1" ht="15">
      <c r="A19" s="586" t="s">
        <v>8</v>
      </c>
      <c r="B19" s="660">
        <v>60173</v>
      </c>
      <c r="C19" s="579">
        <f>B19*130</f>
        <v>7822490</v>
      </c>
      <c r="D19" s="651">
        <v>0</v>
      </c>
      <c r="E19" s="651">
        <v>0</v>
      </c>
      <c r="F19" s="579">
        <v>948</v>
      </c>
      <c r="G19" s="580">
        <v>1860924</v>
      </c>
      <c r="H19" s="579">
        <f t="shared" si="0"/>
        <v>61121</v>
      </c>
      <c r="I19" s="579">
        <f t="shared" si="1"/>
        <v>9683414</v>
      </c>
      <c r="J19" s="587" t="s">
        <v>18</v>
      </c>
    </row>
    <row r="20" spans="1:14" s="615" customFormat="1" ht="15">
      <c r="A20" s="588" t="s">
        <v>9</v>
      </c>
      <c r="B20" s="659">
        <v>23695</v>
      </c>
      <c r="C20" s="583">
        <f>B20*124</f>
        <v>2938180</v>
      </c>
      <c r="D20" s="646">
        <v>0</v>
      </c>
      <c r="E20" s="646">
        <v>0</v>
      </c>
      <c r="F20" s="583">
        <v>140</v>
      </c>
      <c r="G20" s="584">
        <v>265300</v>
      </c>
      <c r="H20" s="584">
        <f t="shared" si="0"/>
        <v>23835</v>
      </c>
      <c r="I20" s="584">
        <f t="shared" si="1"/>
        <v>3203480</v>
      </c>
      <c r="J20" s="744" t="s">
        <v>19</v>
      </c>
    </row>
    <row r="21" spans="1:14" s="615" customFormat="1" ht="15">
      <c r="A21" s="586" t="s">
        <v>10</v>
      </c>
      <c r="B21" s="660">
        <v>79458</v>
      </c>
      <c r="C21" s="579">
        <f>B21*139</f>
        <v>11044662</v>
      </c>
      <c r="D21" s="651">
        <v>29088</v>
      </c>
      <c r="E21" s="651">
        <v>4450464</v>
      </c>
      <c r="F21" s="579">
        <v>2065</v>
      </c>
      <c r="G21" s="580">
        <v>3650490</v>
      </c>
      <c r="H21" s="579">
        <f t="shared" si="0"/>
        <v>110611</v>
      </c>
      <c r="I21" s="579">
        <f t="shared" si="1"/>
        <v>19145616</v>
      </c>
      <c r="J21" s="587" t="s">
        <v>20</v>
      </c>
    </row>
    <row r="22" spans="1:14" s="615" customFormat="1" ht="15">
      <c r="A22" s="588" t="s">
        <v>12</v>
      </c>
      <c r="B22" s="659">
        <v>21909</v>
      </c>
      <c r="C22" s="583">
        <f>B22*140</f>
        <v>3067260</v>
      </c>
      <c r="D22" s="646">
        <v>0</v>
      </c>
      <c r="E22" s="646">
        <v>0</v>
      </c>
      <c r="F22" s="583">
        <v>828</v>
      </c>
      <c r="G22" s="584">
        <v>1324800</v>
      </c>
      <c r="H22" s="584">
        <f t="shared" si="0"/>
        <v>22737</v>
      </c>
      <c r="I22" s="584">
        <f t="shared" si="1"/>
        <v>4392060</v>
      </c>
      <c r="J22" s="744" t="s">
        <v>24</v>
      </c>
    </row>
    <row r="23" spans="1:14" s="615" customFormat="1" ht="15.75" thickBot="1">
      <c r="A23" s="586" t="s">
        <v>13</v>
      </c>
      <c r="B23" s="660">
        <v>68286</v>
      </c>
      <c r="C23" s="579">
        <f>B23*164</f>
        <v>11198904</v>
      </c>
      <c r="D23" s="651">
        <v>0</v>
      </c>
      <c r="E23" s="651">
        <v>0</v>
      </c>
      <c r="F23" s="579">
        <v>1005</v>
      </c>
      <c r="G23" s="580">
        <v>1813020</v>
      </c>
      <c r="H23" s="579">
        <f t="shared" si="0"/>
        <v>69291</v>
      </c>
      <c r="I23" s="579">
        <f t="shared" si="1"/>
        <v>13011924</v>
      </c>
      <c r="J23" s="587" t="s">
        <v>22</v>
      </c>
    </row>
    <row r="24" spans="1:14" s="658" customFormat="1" ht="16.5" customHeight="1" thickBot="1">
      <c r="A24" s="666" t="s">
        <v>0</v>
      </c>
      <c r="B24" s="667">
        <f>SUM(B9:B23)</f>
        <v>501394</v>
      </c>
      <c r="C24" s="667">
        <f t="shared" ref="C24:I24" si="2">SUM(C9:C23)</f>
        <v>70530392</v>
      </c>
      <c r="D24" s="667">
        <f t="shared" si="2"/>
        <v>133391</v>
      </c>
      <c r="E24" s="667">
        <f t="shared" si="2"/>
        <v>24240661</v>
      </c>
      <c r="F24" s="667">
        <f t="shared" si="2"/>
        <v>12822</v>
      </c>
      <c r="G24" s="667">
        <f t="shared" si="2"/>
        <v>24884002</v>
      </c>
      <c r="H24" s="667">
        <f t="shared" si="2"/>
        <v>647607</v>
      </c>
      <c r="I24" s="667">
        <f t="shared" si="2"/>
        <v>119655055</v>
      </c>
      <c r="J24" s="668" t="s">
        <v>1</v>
      </c>
    </row>
    <row r="25" spans="1:14" ht="24" customHeight="1">
      <c r="A25" s="891"/>
      <c r="B25" s="891"/>
      <c r="C25" s="891"/>
      <c r="D25" s="891"/>
      <c r="E25" s="594"/>
      <c r="F25" s="594"/>
      <c r="G25" s="598"/>
      <c r="H25" s="598"/>
      <c r="I25" s="598"/>
      <c r="J25" s="620"/>
    </row>
    <row r="26" spans="1:14" ht="14.25">
      <c r="C26" s="621"/>
      <c r="D26" s="621"/>
      <c r="E26" s="621"/>
      <c r="F26" s="621"/>
      <c r="J26" s="596"/>
    </row>
    <row r="27" spans="1:14" ht="18" customHeight="1">
      <c r="A27" s="600"/>
      <c r="B27" s="600"/>
      <c r="H27" s="613"/>
      <c r="I27" s="603"/>
      <c r="J27" s="597"/>
      <c r="N27" s="599"/>
    </row>
  </sheetData>
  <mergeCells count="12">
    <mergeCell ref="A1:I1"/>
    <mergeCell ref="A4:B4"/>
    <mergeCell ref="A25:D25"/>
    <mergeCell ref="H5:I5"/>
    <mergeCell ref="H6:I6"/>
    <mergeCell ref="B5:C5"/>
    <mergeCell ref="B6:C6"/>
    <mergeCell ref="D5:E5"/>
    <mergeCell ref="D6:E6"/>
    <mergeCell ref="F5:G5"/>
    <mergeCell ref="F6:G6"/>
    <mergeCell ref="A2:I2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J29"/>
  <sheetViews>
    <sheetView rightToLeft="1" zoomScale="90" zoomScaleNormal="90" zoomScaleSheetLayoutView="100" workbookViewId="0">
      <selection activeCell="E17" sqref="E17"/>
    </sheetView>
  </sheetViews>
  <sheetFormatPr defaultRowHeight="12.75"/>
  <cols>
    <col min="1" max="1" width="8.140625" style="593" customWidth="1"/>
    <col min="2" max="2" width="10.28515625" style="593" customWidth="1"/>
    <col min="3" max="3" width="14.5703125" style="593" customWidth="1"/>
    <col min="4" max="4" width="9.42578125" style="593" customWidth="1"/>
    <col min="5" max="5" width="17.140625" style="593" customWidth="1"/>
    <col min="6" max="6" width="9.140625" style="593"/>
    <col min="7" max="7" width="12.7109375" style="593" customWidth="1"/>
    <col min="8" max="8" width="9" style="593" customWidth="1"/>
    <col min="9" max="9" width="15.140625" style="593" customWidth="1"/>
    <col min="10" max="10" width="15" style="593" customWidth="1"/>
    <col min="11" max="16384" width="9.140625" style="593"/>
  </cols>
  <sheetData>
    <row r="1" spans="1:10" ht="15">
      <c r="A1" s="855" t="s">
        <v>457</v>
      </c>
      <c r="B1" s="855"/>
      <c r="C1" s="855"/>
      <c r="D1" s="855"/>
      <c r="E1" s="855"/>
      <c r="F1" s="855"/>
      <c r="G1" s="855"/>
      <c r="H1" s="855"/>
      <c r="I1" s="855"/>
      <c r="J1" s="855"/>
    </row>
    <row r="2" spans="1:10" ht="13.5" customHeight="1">
      <c r="A2" s="897" t="s">
        <v>392</v>
      </c>
      <c r="B2" s="897"/>
      <c r="C2" s="897"/>
      <c r="D2" s="897"/>
      <c r="E2" s="897"/>
      <c r="F2" s="897"/>
      <c r="G2" s="897"/>
      <c r="H2" s="897"/>
      <c r="I2" s="897"/>
      <c r="J2" s="647" t="s">
        <v>287</v>
      </c>
    </row>
    <row r="3" spans="1:10" ht="15.75" customHeight="1">
      <c r="A3" s="570"/>
      <c r="B3" s="570"/>
      <c r="C3" s="570"/>
      <c r="D3" s="570"/>
      <c r="E3" s="570"/>
      <c r="F3" s="570"/>
      <c r="G3" s="570"/>
      <c r="H3" s="570"/>
      <c r="J3" s="619" t="s">
        <v>194</v>
      </c>
    </row>
    <row r="4" spans="1:10" ht="15" customHeight="1" thickBot="1">
      <c r="A4" s="866" t="s">
        <v>456</v>
      </c>
      <c r="B4" s="866"/>
      <c r="C4" s="816" t="s">
        <v>165</v>
      </c>
      <c r="D4" s="574"/>
      <c r="E4" s="574"/>
      <c r="F4" s="654"/>
      <c r="G4" s="856" t="s">
        <v>300</v>
      </c>
      <c r="H4" s="856"/>
      <c r="I4" s="856" t="s">
        <v>455</v>
      </c>
      <c r="J4" s="856"/>
    </row>
    <row r="5" spans="1:10" ht="15" customHeight="1">
      <c r="A5" s="821"/>
      <c r="B5" s="896" t="s">
        <v>200</v>
      </c>
      <c r="C5" s="896"/>
      <c r="D5" s="896" t="s">
        <v>201</v>
      </c>
      <c r="E5" s="896"/>
      <c r="F5" s="896" t="s">
        <v>202</v>
      </c>
      <c r="G5" s="896"/>
      <c r="H5" s="896" t="s">
        <v>204</v>
      </c>
      <c r="I5" s="896"/>
      <c r="J5" s="717"/>
    </row>
    <row r="6" spans="1:10" s="604" customFormat="1" ht="15" customHeight="1">
      <c r="A6" s="822"/>
      <c r="B6" s="895" t="s">
        <v>284</v>
      </c>
      <c r="C6" s="895"/>
      <c r="D6" s="895" t="s">
        <v>212</v>
      </c>
      <c r="E6" s="895"/>
      <c r="F6" s="895" t="s">
        <v>203</v>
      </c>
      <c r="G6" s="895"/>
      <c r="H6" s="895" t="s">
        <v>205</v>
      </c>
      <c r="I6" s="895"/>
      <c r="J6" s="823"/>
    </row>
    <row r="7" spans="1:10" s="604" customFormat="1" ht="15" customHeight="1">
      <c r="A7" s="824"/>
      <c r="B7" s="807" t="s">
        <v>64</v>
      </c>
      <c r="C7" s="807" t="s">
        <v>216</v>
      </c>
      <c r="D7" s="807" t="s">
        <v>64</v>
      </c>
      <c r="E7" s="807" t="s">
        <v>216</v>
      </c>
      <c r="F7" s="807" t="s">
        <v>64</v>
      </c>
      <c r="G7" s="807" t="s">
        <v>216</v>
      </c>
      <c r="H7" s="807" t="s">
        <v>64</v>
      </c>
      <c r="I7" s="807" t="s">
        <v>216</v>
      </c>
      <c r="J7" s="627"/>
    </row>
    <row r="8" spans="1:10" s="711" customFormat="1" ht="15" customHeight="1" thickBot="1">
      <c r="A8" s="819" t="s">
        <v>47</v>
      </c>
      <c r="B8" s="825" t="s">
        <v>120</v>
      </c>
      <c r="C8" s="825" t="s">
        <v>28</v>
      </c>
      <c r="D8" s="825" t="s">
        <v>120</v>
      </c>
      <c r="E8" s="825" t="s">
        <v>28</v>
      </c>
      <c r="F8" s="825" t="s">
        <v>120</v>
      </c>
      <c r="G8" s="825" t="s">
        <v>28</v>
      </c>
      <c r="H8" s="825" t="s">
        <v>120</v>
      </c>
      <c r="I8" s="825" t="s">
        <v>28</v>
      </c>
      <c r="J8" s="826" t="s">
        <v>25</v>
      </c>
    </row>
    <row r="9" spans="1:10" s="658" customFormat="1" ht="15.6" customHeight="1" thickTop="1">
      <c r="A9" s="588" t="s">
        <v>329</v>
      </c>
      <c r="B9" s="583">
        <v>77</v>
      </c>
      <c r="C9" s="584">
        <v>44198</v>
      </c>
      <c r="D9" s="583">
        <v>1634</v>
      </c>
      <c r="E9" s="827">
        <v>708812</v>
      </c>
      <c r="F9" s="583">
        <v>325</v>
      </c>
      <c r="G9" s="584">
        <v>97712</v>
      </c>
      <c r="H9" s="583">
        <f>B9+D9+F9</f>
        <v>2036</v>
      </c>
      <c r="I9" s="584">
        <f>C9+E9+G9</f>
        <v>850722</v>
      </c>
      <c r="J9" s="585" t="s">
        <v>379</v>
      </c>
    </row>
    <row r="10" spans="1:10" s="615" customFormat="1" ht="15.6" customHeight="1">
      <c r="A10" s="586" t="s">
        <v>29</v>
      </c>
      <c r="B10" s="579">
        <v>172</v>
      </c>
      <c r="C10" s="580">
        <v>96664</v>
      </c>
      <c r="D10" s="579">
        <v>1775</v>
      </c>
      <c r="E10" s="828">
        <v>862345</v>
      </c>
      <c r="F10" s="579">
        <v>965</v>
      </c>
      <c r="G10" s="580">
        <v>451225</v>
      </c>
      <c r="H10" s="580">
        <f t="shared" ref="H10:H23" si="0">B10+D10+F10</f>
        <v>2912</v>
      </c>
      <c r="I10" s="580">
        <f t="shared" ref="I10:I23" si="1">C10+E10+G10</f>
        <v>1410234</v>
      </c>
      <c r="J10" s="581" t="s">
        <v>30</v>
      </c>
    </row>
    <row r="11" spans="1:10" s="615" customFormat="1" ht="15.6" customHeight="1">
      <c r="A11" s="582" t="s">
        <v>3</v>
      </c>
      <c r="B11" s="583">
        <v>2006</v>
      </c>
      <c r="C11" s="584">
        <v>1186253</v>
      </c>
      <c r="D11" s="583">
        <v>2181</v>
      </c>
      <c r="E11" s="827">
        <v>1243297</v>
      </c>
      <c r="F11" s="583">
        <v>0</v>
      </c>
      <c r="G11" s="584">
        <v>0</v>
      </c>
      <c r="H11" s="583">
        <f t="shared" si="0"/>
        <v>4187</v>
      </c>
      <c r="I11" s="584">
        <f t="shared" si="1"/>
        <v>2429550</v>
      </c>
      <c r="J11" s="744" t="s">
        <v>15</v>
      </c>
    </row>
    <row r="12" spans="1:10" s="615" customFormat="1" ht="15.6" customHeight="1">
      <c r="A12" s="586" t="s">
        <v>320</v>
      </c>
      <c r="B12" s="579">
        <v>928</v>
      </c>
      <c r="C12" s="580">
        <v>603086</v>
      </c>
      <c r="D12" s="579">
        <v>590</v>
      </c>
      <c r="E12" s="828">
        <v>354305</v>
      </c>
      <c r="F12" s="579">
        <v>0</v>
      </c>
      <c r="G12" s="580">
        <v>0</v>
      </c>
      <c r="H12" s="580">
        <f t="shared" si="0"/>
        <v>1518</v>
      </c>
      <c r="I12" s="580">
        <f t="shared" si="1"/>
        <v>957391</v>
      </c>
      <c r="J12" s="587" t="s">
        <v>316</v>
      </c>
    </row>
    <row r="13" spans="1:10" s="615" customFormat="1" ht="15.6" customHeight="1">
      <c r="A13" s="582" t="s">
        <v>4</v>
      </c>
      <c r="B13" s="583">
        <v>2011</v>
      </c>
      <c r="C13" s="584">
        <v>1520316</v>
      </c>
      <c r="D13" s="583">
        <v>3935</v>
      </c>
      <c r="E13" s="827">
        <v>2443635</v>
      </c>
      <c r="F13" s="583">
        <v>189</v>
      </c>
      <c r="G13" s="584">
        <v>108675</v>
      </c>
      <c r="H13" s="583">
        <f t="shared" si="0"/>
        <v>6135</v>
      </c>
      <c r="I13" s="584">
        <f t="shared" si="1"/>
        <v>4072626</v>
      </c>
      <c r="J13" s="585" t="s">
        <v>16</v>
      </c>
    </row>
    <row r="14" spans="1:10" s="615" customFormat="1" ht="15.6" customHeight="1">
      <c r="A14" s="578" t="s">
        <v>5</v>
      </c>
      <c r="B14" s="579">
        <v>1167</v>
      </c>
      <c r="C14" s="580">
        <v>806937</v>
      </c>
      <c r="D14" s="579">
        <v>1109</v>
      </c>
      <c r="E14" s="828">
        <v>716414</v>
      </c>
      <c r="F14" s="579">
        <v>1505</v>
      </c>
      <c r="G14" s="580">
        <v>871493</v>
      </c>
      <c r="H14" s="580">
        <f t="shared" si="0"/>
        <v>3781</v>
      </c>
      <c r="I14" s="580">
        <f t="shared" si="1"/>
        <v>2394844</v>
      </c>
      <c r="J14" s="581" t="s">
        <v>23</v>
      </c>
    </row>
    <row r="15" spans="1:10" s="615" customFormat="1" ht="15.6" customHeight="1">
      <c r="A15" s="582" t="s">
        <v>6</v>
      </c>
      <c r="B15" s="583">
        <v>2204</v>
      </c>
      <c r="C15" s="584">
        <v>1763200</v>
      </c>
      <c r="D15" s="583">
        <v>5111</v>
      </c>
      <c r="E15" s="827">
        <v>3066600</v>
      </c>
      <c r="F15" s="583">
        <v>33</v>
      </c>
      <c r="G15" s="584">
        <v>14850</v>
      </c>
      <c r="H15" s="583">
        <f t="shared" si="0"/>
        <v>7348</v>
      </c>
      <c r="I15" s="584">
        <f t="shared" si="1"/>
        <v>4844650</v>
      </c>
      <c r="J15" s="585" t="s">
        <v>380</v>
      </c>
    </row>
    <row r="16" spans="1:10" s="615" customFormat="1" ht="15.6" customHeight="1">
      <c r="A16" s="578" t="s">
        <v>11</v>
      </c>
      <c r="B16" s="579">
        <v>530</v>
      </c>
      <c r="C16" s="580">
        <v>322173</v>
      </c>
      <c r="D16" s="579">
        <v>1994</v>
      </c>
      <c r="E16" s="828">
        <v>1196400</v>
      </c>
      <c r="F16" s="579">
        <v>0</v>
      </c>
      <c r="G16" s="580">
        <v>0</v>
      </c>
      <c r="H16" s="580">
        <f t="shared" si="0"/>
        <v>2524</v>
      </c>
      <c r="I16" s="580">
        <f t="shared" si="1"/>
        <v>1518573</v>
      </c>
      <c r="J16" s="581" t="s">
        <v>21</v>
      </c>
    </row>
    <row r="17" spans="1:10" s="615" customFormat="1" ht="15.6" customHeight="1">
      <c r="A17" s="582" t="s">
        <v>2</v>
      </c>
      <c r="B17" s="583">
        <v>472</v>
      </c>
      <c r="C17" s="584">
        <v>242361</v>
      </c>
      <c r="D17" s="583">
        <v>3024</v>
      </c>
      <c r="E17" s="827">
        <v>1400112</v>
      </c>
      <c r="F17" s="583">
        <v>450</v>
      </c>
      <c r="G17" s="584">
        <v>196250</v>
      </c>
      <c r="H17" s="583">
        <f t="shared" si="0"/>
        <v>3946</v>
      </c>
      <c r="I17" s="584">
        <f t="shared" si="1"/>
        <v>1838723</v>
      </c>
      <c r="J17" s="585" t="s">
        <v>14</v>
      </c>
    </row>
    <row r="18" spans="1:10" s="615" customFormat="1" ht="15.6" customHeight="1">
      <c r="A18" s="578" t="s">
        <v>7</v>
      </c>
      <c r="B18" s="579">
        <v>6824</v>
      </c>
      <c r="C18" s="580">
        <v>4606200</v>
      </c>
      <c r="D18" s="579">
        <v>9229</v>
      </c>
      <c r="E18" s="828">
        <v>4937515</v>
      </c>
      <c r="F18" s="579">
        <v>0</v>
      </c>
      <c r="G18" s="580">
        <v>0</v>
      </c>
      <c r="H18" s="580">
        <f t="shared" si="0"/>
        <v>16053</v>
      </c>
      <c r="I18" s="580">
        <f t="shared" si="1"/>
        <v>9543715</v>
      </c>
      <c r="J18" s="581" t="s">
        <v>17</v>
      </c>
    </row>
    <row r="19" spans="1:10" s="615" customFormat="1" ht="15.6" customHeight="1">
      <c r="A19" s="582" t="s">
        <v>8</v>
      </c>
      <c r="B19" s="583">
        <v>101</v>
      </c>
      <c r="C19" s="584">
        <v>57267</v>
      </c>
      <c r="D19" s="583">
        <v>213</v>
      </c>
      <c r="E19" s="827">
        <v>109946</v>
      </c>
      <c r="F19" s="583">
        <v>0</v>
      </c>
      <c r="G19" s="584">
        <v>0</v>
      </c>
      <c r="H19" s="583">
        <f t="shared" si="0"/>
        <v>314</v>
      </c>
      <c r="I19" s="584">
        <f t="shared" si="1"/>
        <v>167213</v>
      </c>
      <c r="J19" s="585" t="s">
        <v>18</v>
      </c>
    </row>
    <row r="20" spans="1:10" s="615" customFormat="1" ht="15.6" customHeight="1">
      <c r="A20" s="578" t="s">
        <v>9</v>
      </c>
      <c r="B20" s="579">
        <v>224</v>
      </c>
      <c r="C20" s="580">
        <v>134591</v>
      </c>
      <c r="D20" s="579">
        <v>500</v>
      </c>
      <c r="E20" s="828">
        <v>250000</v>
      </c>
      <c r="F20" s="579">
        <v>0</v>
      </c>
      <c r="G20" s="580">
        <v>0</v>
      </c>
      <c r="H20" s="580">
        <f t="shared" si="0"/>
        <v>724</v>
      </c>
      <c r="I20" s="580">
        <f t="shared" si="1"/>
        <v>384591</v>
      </c>
      <c r="J20" s="581" t="s">
        <v>19</v>
      </c>
    </row>
    <row r="21" spans="1:10" s="615" customFormat="1" ht="15.6" customHeight="1">
      <c r="A21" s="582" t="s">
        <v>10</v>
      </c>
      <c r="B21" s="583">
        <v>7353</v>
      </c>
      <c r="C21" s="584">
        <v>5178286</v>
      </c>
      <c r="D21" s="583">
        <v>11383</v>
      </c>
      <c r="E21" s="827">
        <v>6829800</v>
      </c>
      <c r="F21" s="583">
        <v>559</v>
      </c>
      <c r="G21" s="584">
        <v>261053</v>
      </c>
      <c r="H21" s="583">
        <f t="shared" si="0"/>
        <v>19295</v>
      </c>
      <c r="I21" s="584">
        <f t="shared" si="1"/>
        <v>12269139</v>
      </c>
      <c r="J21" s="585" t="s">
        <v>20</v>
      </c>
    </row>
    <row r="22" spans="1:10" s="615" customFormat="1" ht="15.6" customHeight="1">
      <c r="A22" s="578" t="s">
        <v>12</v>
      </c>
      <c r="B22" s="579">
        <v>0</v>
      </c>
      <c r="C22" s="580">
        <v>0</v>
      </c>
      <c r="D22" s="579">
        <v>600</v>
      </c>
      <c r="E22" s="828">
        <v>360000</v>
      </c>
      <c r="F22" s="579">
        <v>0</v>
      </c>
      <c r="G22" s="580">
        <v>0</v>
      </c>
      <c r="H22" s="580">
        <f t="shared" si="0"/>
        <v>600</v>
      </c>
      <c r="I22" s="580">
        <f t="shared" si="1"/>
        <v>360000</v>
      </c>
      <c r="J22" s="581" t="s">
        <v>24</v>
      </c>
    </row>
    <row r="23" spans="1:10" s="615" customFormat="1" ht="15.6" customHeight="1" thickBot="1">
      <c r="A23" s="829" t="s">
        <v>13</v>
      </c>
      <c r="B23" s="830">
        <v>2178</v>
      </c>
      <c r="C23" s="705">
        <v>1784269</v>
      </c>
      <c r="D23" s="830">
        <v>0</v>
      </c>
      <c r="E23" s="831">
        <v>0</v>
      </c>
      <c r="F23" s="830">
        <v>0</v>
      </c>
      <c r="G23" s="705">
        <v>0</v>
      </c>
      <c r="H23" s="705">
        <f t="shared" si="0"/>
        <v>2178</v>
      </c>
      <c r="I23" s="705">
        <f t="shared" si="1"/>
        <v>1784269</v>
      </c>
      <c r="J23" s="832" t="s">
        <v>22</v>
      </c>
    </row>
    <row r="24" spans="1:10" s="658" customFormat="1" ht="15" customHeight="1" thickBot="1">
      <c r="A24" s="833" t="s">
        <v>0</v>
      </c>
      <c r="B24" s="834">
        <f>SUM(B9:B23)</f>
        <v>26247</v>
      </c>
      <c r="C24" s="834">
        <f t="shared" ref="C24:I24" si="2">SUM(C9:C23)</f>
        <v>18345801</v>
      </c>
      <c r="D24" s="834">
        <f t="shared" si="2"/>
        <v>43278</v>
      </c>
      <c r="E24" s="834">
        <f t="shared" si="2"/>
        <v>24479181</v>
      </c>
      <c r="F24" s="834">
        <f>SUM(F9:F23)</f>
        <v>4026</v>
      </c>
      <c r="G24" s="834">
        <f t="shared" si="2"/>
        <v>2001258</v>
      </c>
      <c r="H24" s="834">
        <f t="shared" si="2"/>
        <v>73551</v>
      </c>
      <c r="I24" s="834">
        <f t="shared" si="2"/>
        <v>44826240</v>
      </c>
      <c r="J24" s="835" t="s">
        <v>1</v>
      </c>
    </row>
    <row r="25" spans="1:10" ht="15">
      <c r="A25" s="891"/>
      <c r="B25" s="891"/>
      <c r="C25" s="891"/>
      <c r="D25" s="891"/>
      <c r="E25" s="891"/>
      <c r="F25" s="891"/>
      <c r="G25" s="891"/>
      <c r="H25" s="891"/>
      <c r="J25" s="619"/>
    </row>
    <row r="26" spans="1:10" ht="15" customHeight="1">
      <c r="J26" s="597"/>
    </row>
    <row r="29" spans="1:10">
      <c r="D29" s="603"/>
    </row>
  </sheetData>
  <mergeCells count="14">
    <mergeCell ref="B6:C6"/>
    <mergeCell ref="D6:E6"/>
    <mergeCell ref="F6:G6"/>
    <mergeCell ref="A25:H25"/>
    <mergeCell ref="A1:J1"/>
    <mergeCell ref="I4:J4"/>
    <mergeCell ref="A4:B4"/>
    <mergeCell ref="B5:C5"/>
    <mergeCell ref="D5:E5"/>
    <mergeCell ref="F5:G5"/>
    <mergeCell ref="H5:I5"/>
    <mergeCell ref="G4:H4"/>
    <mergeCell ref="A2:I2"/>
    <mergeCell ref="H6:I6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8:J27"/>
  <sheetViews>
    <sheetView rightToLeft="1" zoomScale="90" zoomScaleNormal="90" zoomScaleSheetLayoutView="100" workbookViewId="0">
      <selection activeCell="P11" sqref="P11"/>
    </sheetView>
  </sheetViews>
  <sheetFormatPr defaultRowHeight="12.75"/>
  <cols>
    <col min="1" max="1" width="7.28515625" customWidth="1"/>
    <col min="3" max="3" width="8.140625" customWidth="1"/>
    <col min="6" max="6" width="7.7109375" customWidth="1"/>
    <col min="8" max="8" width="7.140625" customWidth="1"/>
    <col min="9" max="9" width="7.7109375" customWidth="1"/>
    <col min="15" max="15" width="0.28515625" customWidth="1"/>
  </cols>
  <sheetData>
    <row r="18" spans="1:10">
      <c r="C18" s="593"/>
    </row>
    <row r="25" spans="1:10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phoneticPr fontId="3" type="noConversion"/>
  <printOptions horizontalCentered="1" verticalCentered="1"/>
  <pageMargins left="0.49" right="0.47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7030A0"/>
  </sheetPr>
  <dimension ref="A1:M27"/>
  <sheetViews>
    <sheetView rightToLeft="1" zoomScale="80" zoomScaleNormal="80" zoomScaleSheetLayoutView="100" workbookViewId="0">
      <selection activeCell="C18" sqref="C18"/>
    </sheetView>
  </sheetViews>
  <sheetFormatPr defaultRowHeight="12.75"/>
  <cols>
    <col min="1" max="1" width="13.85546875" customWidth="1"/>
    <col min="2" max="2" width="8" bestFit="1" customWidth="1"/>
    <col min="3" max="3" width="10.7109375" bestFit="1" customWidth="1"/>
    <col min="4" max="4" width="15.5703125" bestFit="1" customWidth="1"/>
    <col min="5" max="5" width="7" customWidth="1"/>
    <col min="6" max="6" width="9.5703125" customWidth="1"/>
    <col min="7" max="7" width="14.7109375" customWidth="1"/>
    <col min="8" max="8" width="9" customWidth="1"/>
    <col min="9" max="9" width="10.7109375" bestFit="1" customWidth="1"/>
    <col min="10" max="10" width="15.5703125" bestFit="1" customWidth="1"/>
    <col min="11" max="11" width="17.7109375" customWidth="1"/>
    <col min="12" max="12" width="12" bestFit="1" customWidth="1"/>
    <col min="13" max="13" width="17.85546875" bestFit="1" customWidth="1"/>
    <col min="14" max="14" width="19.28515625" customWidth="1"/>
  </cols>
  <sheetData>
    <row r="1" spans="1:13" ht="43.5" customHeight="1">
      <c r="A1" s="842" t="s">
        <v>412</v>
      </c>
      <c r="B1" s="842"/>
      <c r="C1" s="842"/>
      <c r="D1" s="842"/>
      <c r="E1" s="842"/>
      <c r="F1" s="842"/>
      <c r="G1" s="842"/>
      <c r="H1" s="842"/>
      <c r="I1" s="842"/>
      <c r="J1" s="842"/>
      <c r="K1" s="123" t="s">
        <v>289</v>
      </c>
    </row>
    <row r="2" spans="1:13" ht="15" customHeight="1">
      <c r="A2" s="849" t="s">
        <v>406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</row>
    <row r="3" spans="1:13" ht="15.75" customHeight="1" thickBot="1">
      <c r="A3" s="653" t="s">
        <v>411</v>
      </c>
      <c r="B3" s="534"/>
      <c r="C3" s="534"/>
      <c r="D3" s="534"/>
      <c r="E3" s="534"/>
      <c r="F3" s="534"/>
      <c r="G3" s="534"/>
      <c r="H3" s="534"/>
      <c r="I3" s="534"/>
      <c r="K3" s="20" t="s">
        <v>82</v>
      </c>
    </row>
    <row r="4" spans="1:13" ht="18.75" customHeight="1" thickTop="1">
      <c r="A4" s="543"/>
      <c r="B4" s="843" t="s">
        <v>80</v>
      </c>
      <c r="C4" s="843"/>
      <c r="D4" s="844"/>
      <c r="E4" s="843" t="s">
        <v>81</v>
      </c>
      <c r="F4" s="843"/>
      <c r="G4" s="844"/>
      <c r="H4" s="843" t="s">
        <v>176</v>
      </c>
      <c r="I4" s="843"/>
      <c r="J4" s="844"/>
      <c r="K4" s="535"/>
      <c r="L4" s="4"/>
      <c r="M4" s="4"/>
    </row>
    <row r="5" spans="1:13" ht="14.25" customHeight="1">
      <c r="A5" s="850" t="s">
        <v>409</v>
      </c>
      <c r="B5" s="847" t="s">
        <v>146</v>
      </c>
      <c r="C5" s="847"/>
      <c r="D5" s="848"/>
      <c r="E5" s="845" t="s">
        <v>276</v>
      </c>
      <c r="F5" s="845"/>
      <c r="G5" s="846"/>
      <c r="H5" s="529"/>
      <c r="I5" s="531" t="s">
        <v>1</v>
      </c>
      <c r="J5" s="557"/>
      <c r="K5" s="852" t="s">
        <v>295</v>
      </c>
    </row>
    <row r="6" spans="1:13" ht="39" customHeight="1">
      <c r="A6" s="850"/>
      <c r="B6" s="528" t="s">
        <v>26</v>
      </c>
      <c r="C6" s="528" t="s">
        <v>187</v>
      </c>
      <c r="D6" s="549" t="s">
        <v>179</v>
      </c>
      <c r="E6" s="528" t="s">
        <v>26</v>
      </c>
      <c r="F6" s="528" t="s">
        <v>187</v>
      </c>
      <c r="G6" s="549" t="s">
        <v>179</v>
      </c>
      <c r="H6" s="528" t="s">
        <v>26</v>
      </c>
      <c r="I6" s="528" t="s">
        <v>187</v>
      </c>
      <c r="J6" s="549" t="s">
        <v>179</v>
      </c>
      <c r="K6" s="852"/>
    </row>
    <row r="7" spans="1:13" ht="44.25" customHeight="1">
      <c r="A7" s="850"/>
      <c r="B7" s="179"/>
      <c r="C7" s="530" t="s">
        <v>124</v>
      </c>
      <c r="D7" s="550" t="s">
        <v>145</v>
      </c>
      <c r="E7" s="179"/>
      <c r="F7" s="530" t="s">
        <v>124</v>
      </c>
      <c r="G7" s="550" t="s">
        <v>83</v>
      </c>
      <c r="H7" s="179"/>
      <c r="I7" s="530" t="s">
        <v>124</v>
      </c>
      <c r="J7" s="550" t="s">
        <v>145</v>
      </c>
      <c r="K7" s="852"/>
    </row>
    <row r="8" spans="1:13" ht="16.5" customHeight="1" thickBot="1">
      <c r="A8" s="851"/>
      <c r="B8" s="28" t="s">
        <v>120</v>
      </c>
      <c r="C8" s="28" t="s">
        <v>119</v>
      </c>
      <c r="D8" s="551"/>
      <c r="E8" s="28" t="s">
        <v>120</v>
      </c>
      <c r="F8" s="28" t="s">
        <v>119</v>
      </c>
      <c r="G8" s="551"/>
      <c r="H8" s="28" t="s">
        <v>120</v>
      </c>
      <c r="I8" s="28" t="s">
        <v>119</v>
      </c>
      <c r="J8" s="558"/>
      <c r="K8" s="853"/>
    </row>
    <row r="9" spans="1:13" s="167" customFormat="1" ht="19.5" customHeight="1" thickTop="1">
      <c r="A9" s="544" t="s">
        <v>242</v>
      </c>
      <c r="B9" s="243">
        <v>11628</v>
      </c>
      <c r="C9" s="243">
        <v>2976159</v>
      </c>
      <c r="D9" s="552">
        <v>1109478031.7030001</v>
      </c>
      <c r="E9" s="243">
        <v>2906</v>
      </c>
      <c r="F9" s="243">
        <v>473270</v>
      </c>
      <c r="G9" s="552">
        <v>165883198.79000002</v>
      </c>
      <c r="H9" s="243">
        <f>B9+E9</f>
        <v>14534</v>
      </c>
      <c r="I9" s="243">
        <f>C9+F9</f>
        <v>3449429</v>
      </c>
      <c r="J9" s="559">
        <f>D9+G9</f>
        <v>1275361230.493</v>
      </c>
      <c r="K9" s="536" t="s">
        <v>243</v>
      </c>
      <c r="M9" s="245"/>
    </row>
    <row r="10" spans="1:13" s="167" customFormat="1" ht="21" customHeight="1">
      <c r="A10" s="545" t="s">
        <v>244</v>
      </c>
      <c r="B10" s="123">
        <v>14</v>
      </c>
      <c r="C10" s="123">
        <v>30144</v>
      </c>
      <c r="D10" s="553">
        <v>12611970.5</v>
      </c>
      <c r="E10" s="123">
        <v>0</v>
      </c>
      <c r="F10" s="123">
        <v>0</v>
      </c>
      <c r="G10" s="553">
        <v>0</v>
      </c>
      <c r="H10" s="123">
        <f t="shared" ref="H10:H14" si="0">B10+E10</f>
        <v>14</v>
      </c>
      <c r="I10" s="123">
        <f t="shared" ref="I10:I14" si="1">C10+F10</f>
        <v>30144</v>
      </c>
      <c r="J10" s="553">
        <f t="shared" ref="J10:J14" si="2">D10+G10</f>
        <v>12611970.5</v>
      </c>
      <c r="K10" s="537" t="s">
        <v>173</v>
      </c>
      <c r="M10" s="245"/>
    </row>
    <row r="11" spans="1:13" s="167" customFormat="1" ht="25.5" customHeight="1">
      <c r="A11" s="546" t="s">
        <v>245</v>
      </c>
      <c r="B11" s="248">
        <v>448</v>
      </c>
      <c r="C11" s="248">
        <v>559163</v>
      </c>
      <c r="D11" s="554">
        <v>223217218.65000001</v>
      </c>
      <c r="E11" s="248">
        <v>13</v>
      </c>
      <c r="F11" s="248">
        <v>6150</v>
      </c>
      <c r="G11" s="554">
        <v>2346091</v>
      </c>
      <c r="H11" s="248">
        <f t="shared" si="0"/>
        <v>461</v>
      </c>
      <c r="I11" s="248">
        <f t="shared" si="1"/>
        <v>565313</v>
      </c>
      <c r="J11" s="554">
        <f t="shared" si="2"/>
        <v>225563309.65000001</v>
      </c>
      <c r="K11" s="538" t="s">
        <v>246</v>
      </c>
      <c r="M11" s="245"/>
    </row>
    <row r="12" spans="1:13" s="167" customFormat="1" ht="15" customHeight="1">
      <c r="A12" s="545" t="s">
        <v>247</v>
      </c>
      <c r="B12" s="123">
        <v>14</v>
      </c>
      <c r="C12" s="123">
        <v>21227</v>
      </c>
      <c r="D12" s="553">
        <v>8861058.4000000004</v>
      </c>
      <c r="E12" s="123">
        <v>1</v>
      </c>
      <c r="F12" s="123">
        <v>331</v>
      </c>
      <c r="G12" s="553">
        <v>99180</v>
      </c>
      <c r="H12" s="123">
        <f t="shared" si="0"/>
        <v>15</v>
      </c>
      <c r="I12" s="123">
        <f t="shared" si="1"/>
        <v>21558</v>
      </c>
      <c r="J12" s="553">
        <f t="shared" si="2"/>
        <v>8960238.4000000004</v>
      </c>
      <c r="K12" s="537" t="s">
        <v>248</v>
      </c>
      <c r="M12" s="245"/>
    </row>
    <row r="13" spans="1:13" s="167" customFormat="1" ht="21" customHeight="1">
      <c r="A13" s="546" t="s">
        <v>249</v>
      </c>
      <c r="B13" s="248">
        <v>41</v>
      </c>
      <c r="C13" s="248">
        <v>56481</v>
      </c>
      <c r="D13" s="554">
        <v>21911106</v>
      </c>
      <c r="E13" s="248">
        <v>9</v>
      </c>
      <c r="F13" s="248">
        <v>608</v>
      </c>
      <c r="G13" s="554">
        <v>263770</v>
      </c>
      <c r="H13" s="248">
        <f t="shared" si="0"/>
        <v>50</v>
      </c>
      <c r="I13" s="248">
        <f t="shared" si="1"/>
        <v>57089</v>
      </c>
      <c r="J13" s="554">
        <f t="shared" si="2"/>
        <v>22174876</v>
      </c>
      <c r="K13" s="538" t="s">
        <v>246</v>
      </c>
      <c r="M13" s="245"/>
    </row>
    <row r="14" spans="1:13" s="167" customFormat="1" ht="15.75" customHeight="1" thickBot="1">
      <c r="A14" s="547" t="s">
        <v>250</v>
      </c>
      <c r="B14" s="509">
        <v>36</v>
      </c>
      <c r="C14" s="509">
        <v>49991</v>
      </c>
      <c r="D14" s="555">
        <v>20737348.199999999</v>
      </c>
      <c r="E14" s="509">
        <v>3</v>
      </c>
      <c r="F14" s="509">
        <v>394</v>
      </c>
      <c r="G14" s="555">
        <v>157696</v>
      </c>
      <c r="H14" s="509">
        <f t="shared" si="0"/>
        <v>39</v>
      </c>
      <c r="I14" s="509">
        <f t="shared" si="1"/>
        <v>50385</v>
      </c>
      <c r="J14" s="555">
        <f t="shared" si="2"/>
        <v>20895044.199999999</v>
      </c>
      <c r="K14" s="539" t="s">
        <v>174</v>
      </c>
      <c r="M14" s="245"/>
    </row>
    <row r="15" spans="1:13" s="167" customFormat="1" ht="21" customHeight="1" thickBot="1">
      <c r="A15" s="548" t="s">
        <v>251</v>
      </c>
      <c r="B15" s="540">
        <f>SUM(B9:B14)</f>
        <v>12181</v>
      </c>
      <c r="C15" s="541">
        <f t="shared" ref="C15:J15" si="3">SUM(C9:C14)</f>
        <v>3693165</v>
      </c>
      <c r="D15" s="556">
        <f t="shared" si="3"/>
        <v>1396816733.4530003</v>
      </c>
      <c r="E15" s="541">
        <f t="shared" si="3"/>
        <v>2932</v>
      </c>
      <c r="F15" s="541">
        <f t="shared" si="3"/>
        <v>480753</v>
      </c>
      <c r="G15" s="542">
        <f t="shared" si="3"/>
        <v>168749935.79000002</v>
      </c>
      <c r="H15" s="541">
        <f>SUM(H9:H14)</f>
        <v>15113</v>
      </c>
      <c r="I15" s="541">
        <f t="shared" si="3"/>
        <v>4173918</v>
      </c>
      <c r="J15" s="542">
        <f t="shared" si="3"/>
        <v>1565566669.2430003</v>
      </c>
      <c r="K15" s="542" t="s">
        <v>102</v>
      </c>
    </row>
    <row r="16" spans="1:13" ht="13.5" thickTop="1">
      <c r="A16" s="147"/>
      <c r="B16" s="147"/>
      <c r="C16" s="147"/>
      <c r="D16" s="147"/>
      <c r="E16" s="147"/>
      <c r="F16" s="147"/>
      <c r="G16" s="147"/>
      <c r="H16" s="147"/>
      <c r="I16" s="147"/>
      <c r="J16" s="133"/>
    </row>
    <row r="17" spans="1:11" ht="13.5" customHeight="1">
      <c r="A17" s="147"/>
      <c r="B17" s="562"/>
      <c r="C17" s="562"/>
      <c r="D17" s="562"/>
      <c r="E17" s="562"/>
      <c r="F17" s="562"/>
      <c r="G17" s="562"/>
      <c r="H17" s="562"/>
      <c r="I17" s="562"/>
      <c r="J17" s="562"/>
    </row>
    <row r="18" spans="1:11">
      <c r="A18" s="5"/>
      <c r="B18" s="5"/>
      <c r="C18" s="621"/>
      <c r="D18" s="5"/>
      <c r="E18" s="5"/>
      <c r="F18" s="5"/>
      <c r="G18" s="5"/>
      <c r="H18" s="5"/>
      <c r="I18" s="5"/>
      <c r="J18" s="5"/>
    </row>
    <row r="19" spans="1:11" ht="15">
      <c r="B19" s="508"/>
      <c r="C19" s="508"/>
      <c r="D19" s="508"/>
      <c r="E19" s="4"/>
      <c r="F19" s="5"/>
      <c r="G19" s="5"/>
      <c r="H19" s="5"/>
      <c r="I19" s="5"/>
      <c r="J19" s="5"/>
      <c r="K19" s="134"/>
    </row>
    <row r="20" spans="1:11">
      <c r="A20" s="8"/>
      <c r="B20" s="8"/>
      <c r="C20" s="8"/>
      <c r="E20" s="4"/>
      <c r="F20" s="8"/>
    </row>
    <row r="21" spans="1:11">
      <c r="C21" s="3"/>
      <c r="D21" s="3"/>
      <c r="E21" s="4"/>
    </row>
    <row r="22" spans="1:11">
      <c r="C22" s="3"/>
      <c r="D22" s="3"/>
      <c r="E22" s="4"/>
    </row>
    <row r="23" spans="1:11">
      <c r="C23" s="3"/>
      <c r="D23" s="3"/>
    </row>
    <row r="24" spans="1:11">
      <c r="C24" s="3"/>
      <c r="D24" s="3"/>
    </row>
    <row r="25" spans="1:11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1">
      <c r="A26" s="593"/>
      <c r="B26" s="593"/>
      <c r="C26" s="593"/>
      <c r="D26" s="593"/>
      <c r="E26" s="593"/>
      <c r="F26" s="593"/>
      <c r="G26" s="593"/>
      <c r="H26" s="593"/>
      <c r="I26" s="599"/>
      <c r="J26" s="593"/>
    </row>
    <row r="27" spans="1:11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mergeCells count="9">
    <mergeCell ref="A1:J1"/>
    <mergeCell ref="B4:D4"/>
    <mergeCell ref="E4:G4"/>
    <mergeCell ref="H4:J4"/>
    <mergeCell ref="E5:G5"/>
    <mergeCell ref="B5:D5"/>
    <mergeCell ref="A2:K2"/>
    <mergeCell ref="A5:A8"/>
    <mergeCell ref="K5:K8"/>
  </mergeCells>
  <phoneticPr fontId="3" type="noConversion"/>
  <printOptions horizontalCentered="1" verticalCentered="1"/>
  <pageMargins left="0.23622047244094491" right="0.3" top="1.6929527559055118" bottom="1.8110236220472442" header="0.19685039370078741" footer="0.78740157480314965"/>
  <pageSetup scale="8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L31"/>
  <sheetViews>
    <sheetView rightToLeft="1" zoomScaleNormal="100" zoomScaleSheetLayoutView="100" workbookViewId="0">
      <selection activeCell="D11" sqref="D11"/>
    </sheetView>
  </sheetViews>
  <sheetFormatPr defaultRowHeight="12.75"/>
  <cols>
    <col min="1" max="1" width="11.140625" customWidth="1"/>
    <col min="2" max="2" width="12" customWidth="1"/>
    <col min="3" max="3" width="15" customWidth="1"/>
    <col min="4" max="4" width="12.5703125" customWidth="1"/>
    <col min="5" max="5" width="14.42578125" customWidth="1"/>
    <col min="6" max="6" width="12.42578125" customWidth="1"/>
    <col min="7" max="7" width="15.42578125" customWidth="1"/>
    <col min="8" max="8" width="21" customWidth="1"/>
    <col min="9" max="9" width="9.42578125" customWidth="1"/>
  </cols>
  <sheetData>
    <row r="1" spans="1:38" ht="15">
      <c r="A1" s="855" t="s">
        <v>457</v>
      </c>
      <c r="B1" s="855"/>
      <c r="C1" s="855"/>
      <c r="D1" s="855"/>
      <c r="E1" s="855"/>
      <c r="F1" s="855"/>
      <c r="G1" s="855"/>
      <c r="H1" s="855"/>
    </row>
    <row r="2" spans="1:38" ht="15">
      <c r="A2" s="845" t="s">
        <v>386</v>
      </c>
      <c r="B2" s="845"/>
      <c r="C2" s="845"/>
      <c r="D2" s="845"/>
      <c r="E2" s="845"/>
      <c r="F2" s="845"/>
      <c r="G2" s="845"/>
      <c r="H2" s="845"/>
    </row>
    <row r="3" spans="1:38" s="4" customFormat="1" ht="15">
      <c r="A3" s="135"/>
      <c r="B3" s="135"/>
      <c r="C3" s="135"/>
      <c r="D3" s="135"/>
      <c r="E3" s="135"/>
      <c r="F3" s="135"/>
      <c r="G3" s="899" t="s">
        <v>194</v>
      </c>
      <c r="H3" s="899"/>
    </row>
    <row r="4" spans="1:38" ht="15.75" customHeight="1" thickBot="1">
      <c r="A4" s="866" t="s">
        <v>456</v>
      </c>
      <c r="B4" s="866"/>
      <c r="C4" s="25" t="s">
        <v>211</v>
      </c>
      <c r="E4" s="11"/>
      <c r="F4" s="11"/>
      <c r="G4" s="120" t="s">
        <v>135</v>
      </c>
      <c r="H4" s="153" t="s">
        <v>458</v>
      </c>
    </row>
    <row r="5" spans="1:38" s="169" customFormat="1" ht="15" customHeight="1">
      <c r="A5" s="176"/>
      <c r="B5" s="170" t="s">
        <v>206</v>
      </c>
      <c r="C5" s="170"/>
      <c r="D5" s="83" t="s">
        <v>207</v>
      </c>
      <c r="E5" s="170"/>
      <c r="F5" s="898" t="s">
        <v>209</v>
      </c>
      <c r="G5" s="898"/>
      <c r="H5" s="176"/>
    </row>
    <row r="6" spans="1:38" ht="15" customHeight="1">
      <c r="A6" s="26"/>
      <c r="B6" s="24" t="s">
        <v>285</v>
      </c>
      <c r="C6" s="24"/>
      <c r="D6" s="403" t="s">
        <v>208</v>
      </c>
      <c r="E6" s="24"/>
      <c r="F6" s="845" t="s">
        <v>210</v>
      </c>
      <c r="G6" s="845"/>
      <c r="H6" s="26"/>
    </row>
    <row r="7" spans="1:38" s="111" customFormat="1" ht="15" customHeight="1" thickBot="1">
      <c r="A7" s="180"/>
      <c r="B7" s="114" t="s">
        <v>182</v>
      </c>
      <c r="C7" s="114" t="s">
        <v>216</v>
      </c>
      <c r="D7" s="114" t="s">
        <v>182</v>
      </c>
      <c r="E7" s="114" t="s">
        <v>216</v>
      </c>
      <c r="F7" s="114" t="s">
        <v>182</v>
      </c>
      <c r="G7" s="114" t="s">
        <v>216</v>
      </c>
      <c r="H7" s="180"/>
    </row>
    <row r="8" spans="1:38" s="188" customFormat="1" ht="15" customHeight="1" thickBot="1">
      <c r="A8" s="185" t="s">
        <v>55</v>
      </c>
      <c r="B8" s="186" t="s">
        <v>121</v>
      </c>
      <c r="C8" s="186" t="s">
        <v>28</v>
      </c>
      <c r="D8" s="186" t="s">
        <v>121</v>
      </c>
      <c r="E8" s="186" t="s">
        <v>28</v>
      </c>
      <c r="F8" s="186" t="s">
        <v>121</v>
      </c>
      <c r="G8" s="186" t="s">
        <v>28</v>
      </c>
      <c r="H8" s="187" t="s">
        <v>25</v>
      </c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</row>
    <row r="9" spans="1:38" s="182" customFormat="1" ht="15" customHeight="1">
      <c r="A9" s="233" t="s">
        <v>329</v>
      </c>
      <c r="B9" s="48">
        <v>20550</v>
      </c>
      <c r="C9" s="48">
        <v>657600</v>
      </c>
      <c r="D9" s="48">
        <v>7615</v>
      </c>
      <c r="E9" s="48">
        <v>266525</v>
      </c>
      <c r="F9" s="48">
        <f>B9+D9</f>
        <v>28165</v>
      </c>
      <c r="G9" s="48">
        <f>C9+E9</f>
        <v>924125</v>
      </c>
      <c r="H9" s="238" t="s">
        <v>379</v>
      </c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</row>
    <row r="10" spans="1:38" s="168" customFormat="1" ht="15" customHeight="1">
      <c r="A10" s="516" t="s">
        <v>29</v>
      </c>
      <c r="B10" s="46">
        <v>0</v>
      </c>
      <c r="C10" s="47">
        <v>0</v>
      </c>
      <c r="D10" s="46">
        <v>0</v>
      </c>
      <c r="E10" s="46">
        <v>0</v>
      </c>
      <c r="F10" s="46">
        <f t="shared" ref="F10:F23" si="0">B10+D10</f>
        <v>0</v>
      </c>
      <c r="G10" s="46">
        <f t="shared" ref="G10:G23" si="1">C10+E10</f>
        <v>0</v>
      </c>
      <c r="H10" s="7" t="s">
        <v>30</v>
      </c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</row>
    <row r="11" spans="1:38" s="111" customFormat="1" ht="15" customHeight="1">
      <c r="A11" s="233" t="s">
        <v>3</v>
      </c>
      <c r="B11" s="48">
        <v>30754</v>
      </c>
      <c r="C11" s="112">
        <v>861112</v>
      </c>
      <c r="D11" s="48">
        <v>0</v>
      </c>
      <c r="E11" s="48">
        <v>0</v>
      </c>
      <c r="F11" s="48">
        <f t="shared" si="0"/>
        <v>30754</v>
      </c>
      <c r="G11" s="48">
        <f t="shared" si="1"/>
        <v>861112</v>
      </c>
      <c r="H11" s="238" t="s">
        <v>15</v>
      </c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</row>
    <row r="12" spans="1:38" s="168" customFormat="1" ht="15" customHeight="1">
      <c r="A12" s="516" t="s">
        <v>315</v>
      </c>
      <c r="B12" s="46">
        <v>0</v>
      </c>
      <c r="C12" s="47">
        <v>0</v>
      </c>
      <c r="D12" s="46">
        <v>21187</v>
      </c>
      <c r="E12" s="46">
        <v>741545</v>
      </c>
      <c r="F12" s="46">
        <f t="shared" si="0"/>
        <v>21187</v>
      </c>
      <c r="G12" s="46">
        <f t="shared" si="1"/>
        <v>741545</v>
      </c>
      <c r="H12" s="7" t="s">
        <v>316</v>
      </c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</row>
    <row r="13" spans="1:38" s="111" customFormat="1" ht="15" customHeight="1" thickBot="1">
      <c r="A13" s="233" t="s">
        <v>4</v>
      </c>
      <c r="B13" s="48">
        <v>0</v>
      </c>
      <c r="C13" s="112">
        <v>0</v>
      </c>
      <c r="D13" s="48">
        <v>0</v>
      </c>
      <c r="E13" s="48">
        <v>0</v>
      </c>
      <c r="F13" s="48">
        <f t="shared" si="0"/>
        <v>0</v>
      </c>
      <c r="G13" s="48">
        <f t="shared" si="1"/>
        <v>0</v>
      </c>
      <c r="H13" s="238" t="s">
        <v>16</v>
      </c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</row>
    <row r="14" spans="1:38" s="184" customFormat="1" ht="18.75" customHeight="1" thickBot="1">
      <c r="A14" s="516" t="s">
        <v>5</v>
      </c>
      <c r="B14" s="46">
        <v>0</v>
      </c>
      <c r="C14" s="46">
        <v>0</v>
      </c>
      <c r="D14" s="46">
        <v>0</v>
      </c>
      <c r="E14" s="46">
        <v>0</v>
      </c>
      <c r="F14" s="46">
        <f t="shared" si="0"/>
        <v>0</v>
      </c>
      <c r="G14" s="46">
        <f t="shared" si="1"/>
        <v>0</v>
      </c>
      <c r="H14" s="7" t="s">
        <v>23</v>
      </c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</row>
    <row r="15" spans="1:38" ht="15">
      <c r="A15" s="233" t="s">
        <v>6</v>
      </c>
      <c r="B15" s="48">
        <v>0</v>
      </c>
      <c r="C15" s="48">
        <v>0</v>
      </c>
      <c r="D15" s="48">
        <v>80256</v>
      </c>
      <c r="E15" s="48">
        <v>3129984</v>
      </c>
      <c r="F15" s="48">
        <f t="shared" si="0"/>
        <v>80256</v>
      </c>
      <c r="G15" s="48">
        <f t="shared" si="1"/>
        <v>3129984</v>
      </c>
      <c r="H15" s="238" t="s">
        <v>380</v>
      </c>
    </row>
    <row r="16" spans="1:38" ht="15" customHeight="1">
      <c r="A16" s="516" t="s">
        <v>11</v>
      </c>
      <c r="B16" s="46">
        <v>0</v>
      </c>
      <c r="C16" s="46">
        <v>0</v>
      </c>
      <c r="D16" s="46">
        <v>0</v>
      </c>
      <c r="E16" s="46">
        <v>0</v>
      </c>
      <c r="F16" s="46">
        <f t="shared" si="0"/>
        <v>0</v>
      </c>
      <c r="G16" s="46">
        <f t="shared" si="1"/>
        <v>0</v>
      </c>
      <c r="H16" s="7" t="s">
        <v>21</v>
      </c>
    </row>
    <row r="17" spans="1:10" ht="15" customHeight="1">
      <c r="A17" s="233" t="s">
        <v>2</v>
      </c>
      <c r="B17" s="48">
        <v>3573</v>
      </c>
      <c r="C17" s="48">
        <v>107190</v>
      </c>
      <c r="D17" s="48">
        <v>0</v>
      </c>
      <c r="E17" s="48">
        <v>0</v>
      </c>
      <c r="F17" s="48">
        <f t="shared" si="0"/>
        <v>3573</v>
      </c>
      <c r="G17" s="48">
        <f t="shared" si="1"/>
        <v>107190</v>
      </c>
      <c r="H17" s="238" t="s">
        <v>14</v>
      </c>
    </row>
    <row r="18" spans="1:10" ht="15">
      <c r="A18" s="516" t="s">
        <v>7</v>
      </c>
      <c r="B18" s="46">
        <v>0</v>
      </c>
      <c r="C18" s="788">
        <v>0</v>
      </c>
      <c r="D18" s="46">
        <v>0</v>
      </c>
      <c r="E18" s="46">
        <v>0</v>
      </c>
      <c r="F18" s="46">
        <f t="shared" si="0"/>
        <v>0</v>
      </c>
      <c r="G18" s="46">
        <f t="shared" si="1"/>
        <v>0</v>
      </c>
      <c r="H18" s="7" t="s">
        <v>17</v>
      </c>
    </row>
    <row r="19" spans="1:10" ht="15">
      <c r="A19" s="233" t="s">
        <v>8</v>
      </c>
      <c r="B19" s="48">
        <v>0</v>
      </c>
      <c r="C19" s="48">
        <v>0</v>
      </c>
      <c r="D19" s="48">
        <v>0</v>
      </c>
      <c r="E19" s="48">
        <v>0</v>
      </c>
      <c r="F19" s="48">
        <f t="shared" si="0"/>
        <v>0</v>
      </c>
      <c r="G19" s="48">
        <f t="shared" si="1"/>
        <v>0</v>
      </c>
      <c r="H19" s="238" t="s">
        <v>18</v>
      </c>
    </row>
    <row r="20" spans="1:10" ht="15">
      <c r="A20" s="516" t="s">
        <v>9</v>
      </c>
      <c r="B20" s="46">
        <v>0</v>
      </c>
      <c r="C20" s="46">
        <v>0</v>
      </c>
      <c r="D20" s="46">
        <v>0</v>
      </c>
      <c r="E20" s="46">
        <v>0</v>
      </c>
      <c r="F20" s="46">
        <f t="shared" si="0"/>
        <v>0</v>
      </c>
      <c r="G20" s="46">
        <f t="shared" si="1"/>
        <v>0</v>
      </c>
      <c r="H20" s="7" t="s">
        <v>19</v>
      </c>
    </row>
    <row r="21" spans="1:10" ht="15">
      <c r="A21" s="233" t="s">
        <v>10</v>
      </c>
      <c r="B21" s="48">
        <v>0</v>
      </c>
      <c r="C21" s="48">
        <v>0</v>
      </c>
      <c r="D21" s="48">
        <v>0</v>
      </c>
      <c r="E21" s="48">
        <v>0</v>
      </c>
      <c r="F21" s="48">
        <f t="shared" si="0"/>
        <v>0</v>
      </c>
      <c r="G21" s="48">
        <f t="shared" si="1"/>
        <v>0</v>
      </c>
      <c r="H21" s="238" t="s">
        <v>20</v>
      </c>
    </row>
    <row r="22" spans="1:10" ht="15">
      <c r="A22" s="516" t="s">
        <v>12</v>
      </c>
      <c r="B22" s="46">
        <v>0</v>
      </c>
      <c r="C22" s="46">
        <v>0</v>
      </c>
      <c r="D22" s="46">
        <v>0</v>
      </c>
      <c r="E22" s="46">
        <v>0</v>
      </c>
      <c r="F22" s="46">
        <f t="shared" si="0"/>
        <v>0</v>
      </c>
      <c r="G22" s="46">
        <f t="shared" si="1"/>
        <v>0</v>
      </c>
      <c r="H22" s="7" t="s">
        <v>24</v>
      </c>
    </row>
    <row r="23" spans="1:10" ht="15.75" thickBot="1">
      <c r="A23" s="233" t="s">
        <v>13</v>
      </c>
      <c r="B23" s="48">
        <v>0</v>
      </c>
      <c r="C23" s="48">
        <v>0</v>
      </c>
      <c r="D23" s="48">
        <v>0</v>
      </c>
      <c r="E23" s="48">
        <v>0</v>
      </c>
      <c r="F23" s="48">
        <f t="shared" si="0"/>
        <v>0</v>
      </c>
      <c r="G23" s="48">
        <f t="shared" si="1"/>
        <v>0</v>
      </c>
      <c r="H23" s="238" t="s">
        <v>22</v>
      </c>
    </row>
    <row r="24" spans="1:10" ht="15.75" thickBot="1">
      <c r="A24" s="517" t="s">
        <v>0</v>
      </c>
      <c r="B24" s="518">
        <f>SUM(B9:B23)</f>
        <v>54877</v>
      </c>
      <c r="C24" s="518">
        <f t="shared" ref="C24:G24" si="2">SUM(C9:C23)</f>
        <v>1625902</v>
      </c>
      <c r="D24" s="518">
        <f t="shared" si="2"/>
        <v>109058</v>
      </c>
      <c r="E24" s="518">
        <f t="shared" si="2"/>
        <v>4138054</v>
      </c>
      <c r="F24" s="518">
        <f t="shared" si="2"/>
        <v>163935</v>
      </c>
      <c r="G24" s="518">
        <f t="shared" si="2"/>
        <v>5763956</v>
      </c>
      <c r="H24" s="187" t="s">
        <v>1</v>
      </c>
    </row>
    <row r="25" spans="1:10">
      <c r="A25" s="593"/>
      <c r="B25" s="593"/>
      <c r="C25" s="616"/>
      <c r="D25" s="593"/>
      <c r="E25" s="616"/>
      <c r="F25" s="593"/>
      <c r="G25" s="617"/>
      <c r="H25" s="593"/>
      <c r="I25" s="593"/>
      <c r="J25" s="593"/>
    </row>
    <row r="26" spans="1:10">
      <c r="A26" s="593"/>
      <c r="B26" s="593"/>
      <c r="C26" s="617"/>
      <c r="D26" s="593"/>
      <c r="E26" s="617"/>
      <c r="F26" s="616"/>
      <c r="G26" s="617"/>
      <c r="H26" s="593"/>
      <c r="I26" s="593"/>
      <c r="J26" s="593"/>
    </row>
    <row r="27" spans="1:10">
      <c r="A27" s="593"/>
      <c r="B27" s="593"/>
      <c r="C27" s="618"/>
      <c r="D27" s="593"/>
      <c r="E27" s="618"/>
      <c r="F27" s="593"/>
      <c r="G27" s="593"/>
      <c r="H27" s="593"/>
      <c r="I27" s="593"/>
      <c r="J27" s="593"/>
    </row>
    <row r="28" spans="1:10">
      <c r="A28" s="4"/>
    </row>
    <row r="29" spans="1:10">
      <c r="A29" s="4"/>
    </row>
    <row r="30" spans="1:10">
      <c r="A30" s="4"/>
    </row>
    <row r="31" spans="1:10">
      <c r="A31" s="4"/>
    </row>
  </sheetData>
  <mergeCells count="6">
    <mergeCell ref="F6:G6"/>
    <mergeCell ref="F5:G5"/>
    <mergeCell ref="G3:H3"/>
    <mergeCell ref="A1:H1"/>
    <mergeCell ref="A2:H2"/>
    <mergeCell ref="A4:B4"/>
  </mergeCells>
  <phoneticPr fontId="3" type="noConversion"/>
  <printOptions horizontalCentered="1" verticalCentered="1"/>
  <pageMargins left="0.23622047244094491" right="1.48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AO27"/>
  <sheetViews>
    <sheetView rightToLeft="1" zoomScaleNormal="100" zoomScaleSheetLayoutView="98" workbookViewId="0">
      <selection activeCell="A4" sqref="A4:B4"/>
    </sheetView>
  </sheetViews>
  <sheetFormatPr defaultRowHeight="12.75"/>
  <cols>
    <col min="1" max="1" width="11.28515625" customWidth="1"/>
    <col min="2" max="2" width="11.140625" customWidth="1"/>
    <col min="3" max="3" width="11.28515625" bestFit="1" customWidth="1"/>
    <col min="4" max="4" width="10.140625" bestFit="1" customWidth="1"/>
    <col min="5" max="5" width="13.28515625" customWidth="1"/>
    <col min="6" max="6" width="11.7109375" customWidth="1"/>
    <col min="7" max="7" width="11.28515625" bestFit="1" customWidth="1"/>
    <col min="8" max="8" width="16.5703125" customWidth="1"/>
    <col min="9" max="9" width="8.85546875" customWidth="1"/>
    <col min="10" max="10" width="10.140625" customWidth="1"/>
  </cols>
  <sheetData>
    <row r="1" spans="1:41" ht="21" customHeight="1">
      <c r="A1" s="900" t="s">
        <v>460</v>
      </c>
      <c r="B1" s="900"/>
      <c r="C1" s="900"/>
      <c r="D1" s="900"/>
      <c r="E1" s="900"/>
      <c r="F1" s="900"/>
      <c r="G1" s="900"/>
      <c r="H1" s="900"/>
    </row>
    <row r="2" spans="1:41" ht="15" customHeight="1">
      <c r="A2" s="901" t="s">
        <v>386</v>
      </c>
      <c r="B2" s="901"/>
      <c r="C2" s="901"/>
      <c r="D2" s="901"/>
      <c r="E2" s="901"/>
      <c r="F2" s="901"/>
      <c r="G2" s="901"/>
      <c r="H2" s="901"/>
    </row>
    <row r="3" spans="1:41" ht="20.25" customHeight="1">
      <c r="A3" s="54"/>
      <c r="B3" s="54"/>
      <c r="C3" s="54"/>
      <c r="D3" s="54"/>
      <c r="E3" s="54"/>
      <c r="F3" s="54"/>
      <c r="G3" s="899" t="s">
        <v>194</v>
      </c>
      <c r="H3" s="89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21.75" customHeight="1" thickBot="1">
      <c r="A4" s="866" t="s">
        <v>456</v>
      </c>
      <c r="B4" s="866"/>
      <c r="C4" s="50" t="s">
        <v>169</v>
      </c>
      <c r="D4" s="51"/>
      <c r="E4" s="16"/>
      <c r="F4" s="51"/>
      <c r="G4" s="52" t="s">
        <v>256</v>
      </c>
      <c r="H4" s="53" t="s">
        <v>459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15" customHeight="1">
      <c r="A5" s="56"/>
      <c r="B5" s="57" t="s">
        <v>41</v>
      </c>
      <c r="C5" s="58"/>
      <c r="D5" s="57" t="s">
        <v>188</v>
      </c>
      <c r="E5" s="58"/>
      <c r="F5" s="902" t="s">
        <v>0</v>
      </c>
      <c r="G5" s="902"/>
      <c r="H5" s="5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customHeight="1">
      <c r="A6" s="54"/>
      <c r="B6" s="404" t="s">
        <v>154</v>
      </c>
      <c r="C6" s="54"/>
      <c r="D6" s="404" t="s">
        <v>286</v>
      </c>
      <c r="E6" s="54"/>
      <c r="F6" s="901" t="s">
        <v>1</v>
      </c>
      <c r="G6" s="901"/>
      <c r="H6" s="55"/>
    </row>
    <row r="7" spans="1:41" s="111" customFormat="1" ht="12" customHeight="1">
      <c r="A7" s="113"/>
      <c r="B7" s="191" t="s">
        <v>182</v>
      </c>
      <c r="C7" s="191" t="s">
        <v>216</v>
      </c>
      <c r="D7" s="191" t="s">
        <v>182</v>
      </c>
      <c r="E7" s="191" t="s">
        <v>216</v>
      </c>
      <c r="F7" s="191" t="s">
        <v>182</v>
      </c>
      <c r="G7" s="191" t="s">
        <v>216</v>
      </c>
      <c r="H7" s="192"/>
    </row>
    <row r="8" spans="1:41" s="182" customFormat="1" ht="16.5" customHeight="1" thickBot="1">
      <c r="A8" s="424" t="s">
        <v>51</v>
      </c>
      <c r="B8" s="425" t="s">
        <v>121</v>
      </c>
      <c r="C8" s="426" t="s">
        <v>28</v>
      </c>
      <c r="D8" s="425" t="s">
        <v>121</v>
      </c>
      <c r="E8" s="426" t="s">
        <v>28</v>
      </c>
      <c r="F8" s="425" t="s">
        <v>121</v>
      </c>
      <c r="G8" s="426" t="s">
        <v>28</v>
      </c>
      <c r="H8" s="427" t="s">
        <v>25</v>
      </c>
    </row>
    <row r="9" spans="1:41" s="240" customFormat="1" ht="15" customHeight="1" thickTop="1">
      <c r="A9" s="357" t="s">
        <v>329</v>
      </c>
      <c r="B9" s="358">
        <v>29658</v>
      </c>
      <c r="C9" s="47">
        <v>507746</v>
      </c>
      <c r="D9" s="358">
        <v>11307</v>
      </c>
      <c r="E9" s="47">
        <v>191878</v>
      </c>
      <c r="F9" s="358">
        <f>B9+D9</f>
        <v>40965</v>
      </c>
      <c r="G9" s="47">
        <f>C9+E9</f>
        <v>699624</v>
      </c>
      <c r="H9" s="354" t="s">
        <v>379</v>
      </c>
    </row>
    <row r="10" spans="1:41" s="240" customFormat="1" ht="15" customHeight="1">
      <c r="A10" s="254" t="s">
        <v>29</v>
      </c>
      <c r="B10" s="255">
        <v>16167</v>
      </c>
      <c r="C10" s="235">
        <v>210183</v>
      </c>
      <c r="D10" s="255">
        <v>31024</v>
      </c>
      <c r="E10" s="235">
        <v>434110</v>
      </c>
      <c r="F10" s="235">
        <f t="shared" ref="F10:F23" si="0">B10+D10</f>
        <v>47191</v>
      </c>
      <c r="G10" s="235">
        <f t="shared" ref="G10:G23" si="1">C10+E10</f>
        <v>644293</v>
      </c>
      <c r="H10" s="257" t="s">
        <v>30</v>
      </c>
    </row>
    <row r="11" spans="1:41" s="167" customFormat="1" ht="15" customHeight="1">
      <c r="A11" s="359" t="s">
        <v>3</v>
      </c>
      <c r="B11" s="358">
        <v>39659</v>
      </c>
      <c r="C11" s="47">
        <v>915762</v>
      </c>
      <c r="D11" s="358">
        <v>63139</v>
      </c>
      <c r="E11" s="47">
        <v>1259746</v>
      </c>
      <c r="F11" s="358">
        <f t="shared" si="0"/>
        <v>102798</v>
      </c>
      <c r="G11" s="47">
        <f t="shared" si="1"/>
        <v>2175508</v>
      </c>
      <c r="H11" s="354" t="s">
        <v>15</v>
      </c>
    </row>
    <row r="12" spans="1:41" s="167" customFormat="1" ht="15" customHeight="1">
      <c r="A12" s="254" t="s">
        <v>320</v>
      </c>
      <c r="B12" s="255">
        <v>43623</v>
      </c>
      <c r="C12" s="235">
        <v>1148951</v>
      </c>
      <c r="D12" s="255">
        <v>60509</v>
      </c>
      <c r="E12" s="235">
        <v>1501524</v>
      </c>
      <c r="F12" s="235">
        <f t="shared" si="0"/>
        <v>104132</v>
      </c>
      <c r="G12" s="235">
        <f t="shared" si="1"/>
        <v>2650475</v>
      </c>
      <c r="H12" s="257" t="s">
        <v>316</v>
      </c>
    </row>
    <row r="13" spans="1:41" s="167" customFormat="1" ht="15" customHeight="1">
      <c r="A13" s="359" t="s">
        <v>4</v>
      </c>
      <c r="B13" s="358">
        <v>302995</v>
      </c>
      <c r="C13" s="47">
        <v>6059900</v>
      </c>
      <c r="D13" s="358">
        <v>146114</v>
      </c>
      <c r="E13" s="47">
        <v>3214508</v>
      </c>
      <c r="F13" s="358">
        <f t="shared" si="0"/>
        <v>449109</v>
      </c>
      <c r="G13" s="47">
        <f t="shared" si="1"/>
        <v>9274408</v>
      </c>
      <c r="H13" s="354" t="s">
        <v>16</v>
      </c>
    </row>
    <row r="14" spans="1:41" s="167" customFormat="1" ht="15" customHeight="1">
      <c r="A14" s="258" t="s">
        <v>5</v>
      </c>
      <c r="B14" s="255">
        <v>34917</v>
      </c>
      <c r="C14" s="235">
        <v>731539</v>
      </c>
      <c r="D14" s="255">
        <v>31695</v>
      </c>
      <c r="E14" s="235">
        <v>623941</v>
      </c>
      <c r="F14" s="235">
        <f t="shared" si="0"/>
        <v>66612</v>
      </c>
      <c r="G14" s="235">
        <f t="shared" si="1"/>
        <v>1355480</v>
      </c>
      <c r="H14" s="256" t="s">
        <v>23</v>
      </c>
    </row>
    <row r="15" spans="1:41" s="167" customFormat="1" ht="15" customHeight="1">
      <c r="A15" s="359" t="s">
        <v>6</v>
      </c>
      <c r="B15" s="358">
        <v>69343</v>
      </c>
      <c r="C15" s="47">
        <v>1381436</v>
      </c>
      <c r="D15" s="358">
        <v>31695</v>
      </c>
      <c r="E15" s="47">
        <v>541430</v>
      </c>
      <c r="F15" s="358">
        <f t="shared" si="0"/>
        <v>101038</v>
      </c>
      <c r="G15" s="47">
        <f t="shared" si="1"/>
        <v>1922866</v>
      </c>
      <c r="H15" s="354" t="s">
        <v>380</v>
      </c>
    </row>
    <row r="16" spans="1:41" s="167" customFormat="1" ht="15" customHeight="1">
      <c r="A16" s="258" t="s">
        <v>11</v>
      </c>
      <c r="B16" s="255">
        <v>44377</v>
      </c>
      <c r="C16" s="235">
        <v>621278</v>
      </c>
      <c r="D16" s="255">
        <v>27239</v>
      </c>
      <c r="E16" s="235">
        <v>378373</v>
      </c>
      <c r="F16" s="235">
        <f t="shared" si="0"/>
        <v>71616</v>
      </c>
      <c r="G16" s="235">
        <f t="shared" si="1"/>
        <v>999651</v>
      </c>
      <c r="H16" s="256" t="s">
        <v>21</v>
      </c>
    </row>
    <row r="17" spans="1:10" s="167" customFormat="1" ht="13.5" customHeight="1">
      <c r="A17" s="359" t="s">
        <v>2</v>
      </c>
      <c r="B17" s="358">
        <v>13328</v>
      </c>
      <c r="C17" s="47">
        <v>186619</v>
      </c>
      <c r="D17" s="358">
        <v>14192</v>
      </c>
      <c r="E17" s="47">
        <v>142878</v>
      </c>
      <c r="F17" s="358">
        <f t="shared" si="0"/>
        <v>27520</v>
      </c>
      <c r="G17" s="47">
        <f t="shared" si="1"/>
        <v>329497</v>
      </c>
      <c r="H17" s="354" t="s">
        <v>14</v>
      </c>
    </row>
    <row r="18" spans="1:10" s="167" customFormat="1" ht="15" customHeight="1">
      <c r="A18" s="258" t="s">
        <v>7</v>
      </c>
      <c r="B18" s="255">
        <v>75643</v>
      </c>
      <c r="C18" s="580">
        <v>1358830</v>
      </c>
      <c r="D18" s="255">
        <v>50366</v>
      </c>
      <c r="E18" s="235">
        <v>775501</v>
      </c>
      <c r="F18" s="235">
        <f t="shared" si="0"/>
        <v>126009</v>
      </c>
      <c r="G18" s="235">
        <f t="shared" si="1"/>
        <v>2134331</v>
      </c>
      <c r="H18" s="256" t="s">
        <v>17</v>
      </c>
    </row>
    <row r="19" spans="1:10" s="167" customFormat="1" ht="15" customHeight="1">
      <c r="A19" s="359" t="s">
        <v>8</v>
      </c>
      <c r="B19" s="358">
        <v>25940</v>
      </c>
      <c r="C19" s="47">
        <v>629928</v>
      </c>
      <c r="D19" s="358">
        <v>42087</v>
      </c>
      <c r="E19" s="47">
        <v>807667</v>
      </c>
      <c r="F19" s="358">
        <f t="shared" si="0"/>
        <v>68027</v>
      </c>
      <c r="G19" s="47">
        <f t="shared" si="1"/>
        <v>1437595</v>
      </c>
      <c r="H19" s="354" t="s">
        <v>18</v>
      </c>
    </row>
    <row r="20" spans="1:10" s="167" customFormat="1" ht="15" customHeight="1">
      <c r="A20" s="258" t="s">
        <v>9</v>
      </c>
      <c r="B20" s="255">
        <v>32568</v>
      </c>
      <c r="C20" s="235">
        <v>665364</v>
      </c>
      <c r="D20" s="255">
        <v>11201</v>
      </c>
      <c r="E20" s="235">
        <v>168702</v>
      </c>
      <c r="F20" s="235">
        <f t="shared" si="0"/>
        <v>43769</v>
      </c>
      <c r="G20" s="235">
        <f t="shared" si="1"/>
        <v>834066</v>
      </c>
      <c r="H20" s="256" t="s">
        <v>19</v>
      </c>
    </row>
    <row r="21" spans="1:10" s="167" customFormat="1" ht="15" customHeight="1">
      <c r="A21" s="359" t="s">
        <v>10</v>
      </c>
      <c r="B21" s="358">
        <v>34719</v>
      </c>
      <c r="C21" s="47">
        <v>864972</v>
      </c>
      <c r="D21" s="358">
        <v>9650</v>
      </c>
      <c r="E21" s="47">
        <v>304077</v>
      </c>
      <c r="F21" s="358">
        <f t="shared" si="0"/>
        <v>44369</v>
      </c>
      <c r="G21" s="47">
        <f t="shared" si="1"/>
        <v>1169049</v>
      </c>
      <c r="H21" s="354" t="s">
        <v>20</v>
      </c>
    </row>
    <row r="22" spans="1:10" s="167" customFormat="1" ht="15">
      <c r="A22" s="360" t="s">
        <v>12</v>
      </c>
      <c r="B22" s="361">
        <v>18660</v>
      </c>
      <c r="C22" s="112">
        <v>298560</v>
      </c>
      <c r="D22" s="361">
        <v>5215</v>
      </c>
      <c r="E22" s="112">
        <v>103130</v>
      </c>
      <c r="F22" s="235">
        <f t="shared" si="0"/>
        <v>23875</v>
      </c>
      <c r="G22" s="235">
        <f t="shared" si="1"/>
        <v>401690</v>
      </c>
      <c r="H22" s="362" t="s">
        <v>24</v>
      </c>
    </row>
    <row r="23" spans="1:10" s="167" customFormat="1" ht="15" customHeight="1" thickBot="1">
      <c r="A23" s="428" t="s">
        <v>13</v>
      </c>
      <c r="B23" s="429">
        <v>69073</v>
      </c>
      <c r="C23" s="421">
        <v>1420087</v>
      </c>
      <c r="D23" s="429">
        <v>40674</v>
      </c>
      <c r="E23" s="421">
        <v>1004382</v>
      </c>
      <c r="F23" s="358">
        <f t="shared" si="0"/>
        <v>109747</v>
      </c>
      <c r="G23" s="47">
        <f t="shared" si="1"/>
        <v>2424469</v>
      </c>
      <c r="H23" s="430" t="s">
        <v>22</v>
      </c>
    </row>
    <row r="24" spans="1:10" s="240" customFormat="1" ht="17.25" customHeight="1" thickBot="1">
      <c r="A24" s="259" t="s">
        <v>0</v>
      </c>
      <c r="B24" s="260">
        <f>SUM(B9:B23)</f>
        <v>850670</v>
      </c>
      <c r="C24" s="260">
        <f t="shared" ref="C24:G24" si="2">SUM(C9:C23)</f>
        <v>17001155</v>
      </c>
      <c r="D24" s="260">
        <f t="shared" si="2"/>
        <v>576107</v>
      </c>
      <c r="E24" s="260">
        <f t="shared" si="2"/>
        <v>11451847</v>
      </c>
      <c r="F24" s="260">
        <f t="shared" si="2"/>
        <v>1426777</v>
      </c>
      <c r="G24" s="260">
        <f t="shared" si="2"/>
        <v>28453002</v>
      </c>
      <c r="H24" s="259" t="s">
        <v>1</v>
      </c>
    </row>
    <row r="25" spans="1:10" ht="15">
      <c r="A25" s="891"/>
      <c r="B25" s="891"/>
      <c r="C25" s="891"/>
      <c r="D25" s="891"/>
      <c r="E25" s="891"/>
      <c r="F25" s="891"/>
      <c r="G25" s="891"/>
      <c r="H25" s="891"/>
      <c r="I25" s="593"/>
      <c r="J25" s="593"/>
    </row>
    <row r="26" spans="1:10" ht="18.75" customHeight="1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mergeCells count="7">
    <mergeCell ref="G3:H3"/>
    <mergeCell ref="A1:H1"/>
    <mergeCell ref="A4:B4"/>
    <mergeCell ref="A25:H25"/>
    <mergeCell ref="A2:H2"/>
    <mergeCell ref="F6:G6"/>
    <mergeCell ref="F5:G5"/>
  </mergeCells>
  <phoneticPr fontId="3" type="noConversion"/>
  <printOptions horizontalCentered="1" verticalCentered="1"/>
  <pageMargins left="0.23622047244094491" right="0.28000000000000003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J28"/>
  <sheetViews>
    <sheetView rightToLeft="1" zoomScale="90" zoomScaleNormal="90" zoomScaleSheetLayoutView="98" workbookViewId="0">
      <selection activeCell="A4" sqref="A4:B4"/>
    </sheetView>
  </sheetViews>
  <sheetFormatPr defaultRowHeight="12.75"/>
  <cols>
    <col min="1" max="1" width="11.42578125" customWidth="1"/>
    <col min="2" max="2" width="12.5703125" customWidth="1"/>
    <col min="3" max="3" width="16.85546875" customWidth="1"/>
    <col min="4" max="4" width="10.140625" bestFit="1" customWidth="1"/>
    <col min="5" max="5" width="15.85546875" customWidth="1"/>
    <col min="6" max="6" width="14.7109375" customWidth="1"/>
    <col min="7" max="7" width="15.85546875" customWidth="1"/>
    <col min="8" max="8" width="16.140625" customWidth="1"/>
  </cols>
  <sheetData>
    <row r="1" spans="1:8" ht="15">
      <c r="A1" s="903" t="s">
        <v>462</v>
      </c>
      <c r="B1" s="903"/>
      <c r="C1" s="903"/>
      <c r="D1" s="903"/>
      <c r="E1" s="903"/>
      <c r="F1" s="903"/>
      <c r="G1" s="903"/>
      <c r="H1" s="903"/>
    </row>
    <row r="2" spans="1:8" ht="15">
      <c r="A2" s="904" t="s">
        <v>385</v>
      </c>
      <c r="B2" s="904"/>
      <c r="C2" s="904"/>
      <c r="D2" s="904"/>
      <c r="E2" s="904"/>
      <c r="F2" s="904"/>
      <c r="G2" s="904"/>
      <c r="H2" s="904"/>
    </row>
    <row r="3" spans="1:8" ht="12.75" customHeight="1">
      <c r="A3" s="14"/>
      <c r="B3" s="11"/>
      <c r="C3" s="11"/>
      <c r="D3" s="60"/>
      <c r="E3" s="11"/>
      <c r="F3" s="11"/>
      <c r="G3" s="899" t="s">
        <v>362</v>
      </c>
      <c r="H3" s="899"/>
    </row>
    <row r="4" spans="1:8" ht="15" customHeight="1" thickBot="1">
      <c r="A4" s="866" t="s">
        <v>456</v>
      </c>
      <c r="B4" s="866"/>
      <c r="C4" s="61" t="s">
        <v>170</v>
      </c>
      <c r="D4" s="62"/>
      <c r="E4" s="11"/>
      <c r="F4" s="63"/>
      <c r="G4" s="64" t="s">
        <v>171</v>
      </c>
      <c r="H4" s="65" t="s">
        <v>461</v>
      </c>
    </row>
    <row r="5" spans="1:8" ht="15" customHeight="1">
      <c r="A5" s="23"/>
      <c r="B5" s="70" t="s">
        <v>189</v>
      </c>
      <c r="C5" s="69"/>
      <c r="D5" s="70" t="s">
        <v>190</v>
      </c>
      <c r="E5" s="69"/>
      <c r="F5" s="70" t="s">
        <v>0</v>
      </c>
      <c r="G5" s="69"/>
      <c r="H5" s="68"/>
    </row>
    <row r="6" spans="1:8" ht="15" customHeight="1">
      <c r="A6" s="26"/>
      <c r="B6" s="127" t="s">
        <v>279</v>
      </c>
      <c r="C6" s="67"/>
      <c r="D6" s="127" t="s">
        <v>278</v>
      </c>
      <c r="E6" s="67"/>
      <c r="F6" s="60" t="s">
        <v>1</v>
      </c>
      <c r="G6" s="67"/>
      <c r="H6" s="66"/>
    </row>
    <row r="7" spans="1:8" s="182" customFormat="1" ht="15" customHeight="1">
      <c r="A7" s="193"/>
      <c r="B7" s="194" t="s">
        <v>182</v>
      </c>
      <c r="C7" s="195" t="s">
        <v>216</v>
      </c>
      <c r="D7" s="195" t="s">
        <v>182</v>
      </c>
      <c r="E7" s="195" t="s">
        <v>216</v>
      </c>
      <c r="F7" s="195" t="s">
        <v>182</v>
      </c>
      <c r="G7" s="195" t="s">
        <v>216</v>
      </c>
      <c r="H7" s="196"/>
    </row>
    <row r="8" spans="1:8" s="182" customFormat="1" ht="15" customHeight="1" thickBot="1">
      <c r="A8" s="431" t="s">
        <v>47</v>
      </c>
      <c r="B8" s="432" t="s">
        <v>121</v>
      </c>
      <c r="C8" s="432" t="s">
        <v>28</v>
      </c>
      <c r="D8" s="432" t="s">
        <v>121</v>
      </c>
      <c r="E8" s="432" t="s">
        <v>28</v>
      </c>
      <c r="F8" s="432" t="s">
        <v>121</v>
      </c>
      <c r="G8" s="432" t="s">
        <v>28</v>
      </c>
      <c r="H8" s="433" t="s">
        <v>25</v>
      </c>
    </row>
    <row r="9" spans="1:8" s="240" customFormat="1" ht="15" customHeight="1" thickTop="1">
      <c r="A9" s="352" t="s">
        <v>329</v>
      </c>
      <c r="B9" s="353">
        <v>24</v>
      </c>
      <c r="C9" s="47">
        <v>499</v>
      </c>
      <c r="D9" s="353">
        <v>20</v>
      </c>
      <c r="E9" s="47">
        <v>404</v>
      </c>
      <c r="F9" s="353">
        <f>B9+D9</f>
        <v>44</v>
      </c>
      <c r="G9" s="47">
        <f>C9+E9</f>
        <v>903</v>
      </c>
      <c r="H9" s="354" t="s">
        <v>379</v>
      </c>
    </row>
    <row r="10" spans="1:8" s="167" customFormat="1" ht="15" customHeight="1">
      <c r="A10" s="261" t="s">
        <v>29</v>
      </c>
      <c r="B10" s="262">
        <v>0</v>
      </c>
      <c r="C10" s="235">
        <v>0</v>
      </c>
      <c r="D10" s="262">
        <v>38</v>
      </c>
      <c r="E10" s="235">
        <v>0</v>
      </c>
      <c r="F10" s="235">
        <v>0</v>
      </c>
      <c r="G10" s="235">
        <f t="shared" ref="G10:G23" si="0">C10+E10</f>
        <v>0</v>
      </c>
      <c r="H10" s="263" t="s">
        <v>30</v>
      </c>
    </row>
    <row r="11" spans="1:8" s="167" customFormat="1" ht="15" customHeight="1">
      <c r="A11" s="355" t="s">
        <v>3</v>
      </c>
      <c r="B11" s="353">
        <v>41</v>
      </c>
      <c r="C11" s="47">
        <v>861</v>
      </c>
      <c r="D11" s="353">
        <v>85</v>
      </c>
      <c r="E11" s="47">
        <v>2099</v>
      </c>
      <c r="F11" s="353">
        <f t="shared" ref="F11:F23" si="1">B11+D11</f>
        <v>126</v>
      </c>
      <c r="G11" s="47">
        <f t="shared" si="0"/>
        <v>2960</v>
      </c>
      <c r="H11" s="356" t="s">
        <v>15</v>
      </c>
    </row>
    <row r="12" spans="1:8" s="167" customFormat="1" ht="15" customHeight="1">
      <c r="A12" s="261" t="s">
        <v>320</v>
      </c>
      <c r="B12" s="262">
        <v>0</v>
      </c>
      <c r="C12" s="235">
        <v>0</v>
      </c>
      <c r="D12" s="262">
        <v>45</v>
      </c>
      <c r="E12" s="235">
        <v>1133</v>
      </c>
      <c r="F12" s="235">
        <f t="shared" si="1"/>
        <v>45</v>
      </c>
      <c r="G12" s="235">
        <f t="shared" si="0"/>
        <v>1133</v>
      </c>
      <c r="H12" s="263" t="s">
        <v>316</v>
      </c>
    </row>
    <row r="13" spans="1:8" s="167" customFormat="1" ht="15" customHeight="1">
      <c r="A13" s="355" t="s">
        <v>4</v>
      </c>
      <c r="B13" s="353">
        <v>548</v>
      </c>
      <c r="C13" s="47">
        <v>10960</v>
      </c>
      <c r="D13" s="353">
        <v>616</v>
      </c>
      <c r="E13" s="47">
        <v>13552</v>
      </c>
      <c r="F13" s="353">
        <f t="shared" si="1"/>
        <v>1164</v>
      </c>
      <c r="G13" s="47">
        <f t="shared" si="0"/>
        <v>24512</v>
      </c>
      <c r="H13" s="356" t="s">
        <v>16</v>
      </c>
    </row>
    <row r="14" spans="1:8" s="167" customFormat="1" ht="15" customHeight="1">
      <c r="A14" s="264" t="s">
        <v>5</v>
      </c>
      <c r="B14" s="262">
        <v>59</v>
      </c>
      <c r="C14" s="235">
        <v>826</v>
      </c>
      <c r="D14" s="262">
        <v>66</v>
      </c>
      <c r="E14" s="235">
        <v>1237</v>
      </c>
      <c r="F14" s="235">
        <f t="shared" si="1"/>
        <v>125</v>
      </c>
      <c r="G14" s="235">
        <f t="shared" si="0"/>
        <v>2063</v>
      </c>
      <c r="H14" s="265" t="s">
        <v>23</v>
      </c>
    </row>
    <row r="15" spans="1:8" s="167" customFormat="1" ht="15" customHeight="1">
      <c r="A15" s="355" t="s">
        <v>6</v>
      </c>
      <c r="B15" s="353">
        <v>0</v>
      </c>
      <c r="C15" s="47">
        <v>0</v>
      </c>
      <c r="D15" s="353">
        <v>102</v>
      </c>
      <c r="E15" s="47">
        <v>2020</v>
      </c>
      <c r="F15" s="353">
        <f t="shared" si="1"/>
        <v>102</v>
      </c>
      <c r="G15" s="47">
        <f t="shared" si="0"/>
        <v>2020</v>
      </c>
      <c r="H15" s="356" t="s">
        <v>380</v>
      </c>
    </row>
    <row r="16" spans="1:8" s="167" customFormat="1" ht="15" customHeight="1">
      <c r="A16" s="264" t="s">
        <v>11</v>
      </c>
      <c r="B16" s="262">
        <v>30</v>
      </c>
      <c r="C16" s="235">
        <v>495</v>
      </c>
      <c r="D16" s="262">
        <v>75</v>
      </c>
      <c r="E16" s="235">
        <v>1266</v>
      </c>
      <c r="F16" s="235">
        <f t="shared" si="1"/>
        <v>105</v>
      </c>
      <c r="G16" s="235">
        <f t="shared" si="0"/>
        <v>1761</v>
      </c>
      <c r="H16" s="265" t="s">
        <v>21</v>
      </c>
    </row>
    <row r="17" spans="1:10" s="167" customFormat="1" ht="15" customHeight="1">
      <c r="A17" s="355" t="s">
        <v>2</v>
      </c>
      <c r="B17" s="353">
        <v>17</v>
      </c>
      <c r="C17" s="47">
        <v>287</v>
      </c>
      <c r="D17" s="353">
        <v>0</v>
      </c>
      <c r="E17" s="47">
        <v>0</v>
      </c>
      <c r="F17" s="353">
        <f t="shared" si="1"/>
        <v>17</v>
      </c>
      <c r="G17" s="47">
        <f t="shared" si="0"/>
        <v>287</v>
      </c>
      <c r="H17" s="356" t="s">
        <v>14</v>
      </c>
    </row>
    <row r="18" spans="1:10" s="167" customFormat="1" ht="15" customHeight="1">
      <c r="A18" s="264" t="s">
        <v>7</v>
      </c>
      <c r="B18" s="262">
        <v>88</v>
      </c>
      <c r="C18" s="580">
        <v>1320</v>
      </c>
      <c r="D18" s="262">
        <v>115</v>
      </c>
      <c r="E18" s="235">
        <v>2037</v>
      </c>
      <c r="F18" s="235">
        <f t="shared" si="1"/>
        <v>203</v>
      </c>
      <c r="G18" s="235">
        <f t="shared" si="0"/>
        <v>3357</v>
      </c>
      <c r="H18" s="265" t="s">
        <v>17</v>
      </c>
    </row>
    <row r="19" spans="1:10" s="167" customFormat="1" ht="15" customHeight="1">
      <c r="A19" s="355" t="s">
        <v>8</v>
      </c>
      <c r="B19" s="353">
        <v>109</v>
      </c>
      <c r="C19" s="47">
        <v>1635</v>
      </c>
      <c r="D19" s="353">
        <v>119</v>
      </c>
      <c r="E19" s="47">
        <v>2142</v>
      </c>
      <c r="F19" s="353">
        <f t="shared" si="1"/>
        <v>228</v>
      </c>
      <c r="G19" s="47">
        <f t="shared" si="0"/>
        <v>3777</v>
      </c>
      <c r="H19" s="356" t="s">
        <v>18</v>
      </c>
    </row>
    <row r="20" spans="1:10" s="167" customFormat="1" ht="15" customHeight="1">
      <c r="A20" s="264" t="s">
        <v>9</v>
      </c>
      <c r="B20" s="262">
        <v>70</v>
      </c>
      <c r="C20" s="235">
        <v>980</v>
      </c>
      <c r="D20" s="262">
        <v>70</v>
      </c>
      <c r="E20" s="235">
        <v>1151</v>
      </c>
      <c r="F20" s="235">
        <f t="shared" si="1"/>
        <v>140</v>
      </c>
      <c r="G20" s="235">
        <f t="shared" si="0"/>
        <v>2131</v>
      </c>
      <c r="H20" s="265" t="s">
        <v>19</v>
      </c>
    </row>
    <row r="21" spans="1:10" s="167" customFormat="1" ht="15" customHeight="1">
      <c r="A21" s="355" t="s">
        <v>10</v>
      </c>
      <c r="B21" s="353">
        <v>0</v>
      </c>
      <c r="C21" s="47">
        <v>0</v>
      </c>
      <c r="D21" s="353">
        <v>301</v>
      </c>
      <c r="E21" s="47">
        <v>4515</v>
      </c>
      <c r="F21" s="353">
        <f t="shared" si="1"/>
        <v>301</v>
      </c>
      <c r="G21" s="47">
        <f t="shared" si="0"/>
        <v>4515</v>
      </c>
      <c r="H21" s="356" t="s">
        <v>20</v>
      </c>
    </row>
    <row r="22" spans="1:10" s="167" customFormat="1" ht="15" customHeight="1">
      <c r="A22" s="264" t="s">
        <v>12</v>
      </c>
      <c r="B22" s="262">
        <v>0</v>
      </c>
      <c r="C22" s="235">
        <v>0</v>
      </c>
      <c r="D22" s="262">
        <v>26</v>
      </c>
      <c r="E22" s="235">
        <v>400</v>
      </c>
      <c r="F22" s="235">
        <f t="shared" si="1"/>
        <v>26</v>
      </c>
      <c r="G22" s="235">
        <f t="shared" si="0"/>
        <v>400</v>
      </c>
      <c r="H22" s="265" t="s">
        <v>24</v>
      </c>
    </row>
    <row r="23" spans="1:10" s="167" customFormat="1" ht="15" customHeight="1" thickBot="1">
      <c r="A23" s="434" t="s">
        <v>13</v>
      </c>
      <c r="B23" s="435">
        <v>0</v>
      </c>
      <c r="C23" s="421">
        <v>0</v>
      </c>
      <c r="D23" s="435">
        <v>201</v>
      </c>
      <c r="E23" s="421">
        <v>2814</v>
      </c>
      <c r="F23" s="353">
        <f t="shared" si="1"/>
        <v>201</v>
      </c>
      <c r="G23" s="47">
        <f t="shared" si="0"/>
        <v>2814</v>
      </c>
      <c r="H23" s="436" t="s">
        <v>22</v>
      </c>
    </row>
    <row r="24" spans="1:10" s="240" customFormat="1" ht="19.5" customHeight="1" thickBot="1">
      <c r="A24" s="266" t="s">
        <v>0</v>
      </c>
      <c r="B24" s="267">
        <f>SUM(B9:B23)</f>
        <v>986</v>
      </c>
      <c r="C24" s="267">
        <f t="shared" ref="C24:G24" si="2">SUM(C9:C23)</f>
        <v>17863</v>
      </c>
      <c r="D24" s="267">
        <f t="shared" si="2"/>
        <v>1879</v>
      </c>
      <c r="E24" s="267">
        <f t="shared" si="2"/>
        <v>34770</v>
      </c>
      <c r="F24" s="267">
        <f t="shared" si="2"/>
        <v>2827</v>
      </c>
      <c r="G24" s="267">
        <f t="shared" si="2"/>
        <v>52633</v>
      </c>
      <c r="H24" s="266" t="s">
        <v>1</v>
      </c>
    </row>
    <row r="25" spans="1:10" ht="15">
      <c r="A25" s="891"/>
      <c r="B25" s="891"/>
      <c r="C25" s="891"/>
      <c r="D25" s="891"/>
      <c r="E25" s="891"/>
      <c r="F25" s="891"/>
      <c r="G25" s="891"/>
      <c r="H25" s="891"/>
      <c r="I25" s="593"/>
      <c r="J25" s="593"/>
    </row>
    <row r="26" spans="1:10" ht="13.5" customHeight="1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  <row r="28" spans="1:10">
      <c r="C28" s="2"/>
    </row>
  </sheetData>
  <mergeCells count="5">
    <mergeCell ref="G3:H3"/>
    <mergeCell ref="A1:H1"/>
    <mergeCell ref="A2:H2"/>
    <mergeCell ref="A4:B4"/>
    <mergeCell ref="A25:H25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8:J27"/>
  <sheetViews>
    <sheetView rightToLeft="1" zoomScaleNormal="100" workbookViewId="0">
      <selection activeCell="Q8" sqref="Q8"/>
    </sheetView>
  </sheetViews>
  <sheetFormatPr defaultRowHeight="12.75"/>
  <cols>
    <col min="1" max="1" width="8" customWidth="1"/>
    <col min="2" max="2" width="5.5703125" customWidth="1"/>
    <col min="3" max="3" width="7.42578125" customWidth="1"/>
    <col min="4" max="4" width="6.85546875" customWidth="1"/>
    <col min="5" max="5" width="6.7109375" customWidth="1"/>
    <col min="6" max="6" width="7.7109375" customWidth="1"/>
    <col min="7" max="7" width="8" customWidth="1"/>
    <col min="8" max="8" width="8.5703125" customWidth="1"/>
    <col min="10" max="10" width="8.85546875" customWidth="1"/>
    <col min="11" max="11" width="8.28515625" customWidth="1"/>
    <col min="12" max="13" width="7.7109375" customWidth="1"/>
    <col min="14" max="14" width="7.42578125" customWidth="1"/>
    <col min="15" max="15" width="8" customWidth="1"/>
  </cols>
  <sheetData>
    <row r="18" spans="1:10">
      <c r="C18" s="593"/>
    </row>
    <row r="25" spans="1:10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O35"/>
  <sheetViews>
    <sheetView rightToLeft="1" zoomScale="90" zoomScaleNormal="90" zoomScaleSheetLayoutView="100" workbookViewId="0">
      <selection activeCell="A4" sqref="A4:B4"/>
    </sheetView>
  </sheetViews>
  <sheetFormatPr defaultRowHeight="12.75"/>
  <cols>
    <col min="1" max="1" width="10" customWidth="1"/>
    <col min="2" max="2" width="12.85546875" customWidth="1"/>
    <col min="3" max="3" width="14.42578125" customWidth="1"/>
    <col min="4" max="4" width="11.140625" customWidth="1"/>
    <col min="5" max="5" width="13.85546875" customWidth="1"/>
    <col min="6" max="6" width="11.42578125" customWidth="1"/>
    <col min="7" max="7" width="13.7109375" bestFit="1" customWidth="1"/>
    <col min="8" max="8" width="12.140625" customWidth="1"/>
    <col min="9" max="9" width="14" customWidth="1"/>
    <col min="10" max="10" width="17.85546875" customWidth="1"/>
    <col min="11" max="11" width="0.85546875" hidden="1" customWidth="1"/>
    <col min="12" max="12" width="5.85546875" customWidth="1"/>
  </cols>
  <sheetData>
    <row r="1" spans="1:10" ht="15">
      <c r="A1" s="855" t="s">
        <v>460</v>
      </c>
      <c r="B1" s="855"/>
      <c r="C1" s="855"/>
      <c r="D1" s="855"/>
      <c r="E1" s="855"/>
      <c r="F1" s="855"/>
      <c r="G1" s="855"/>
      <c r="H1" s="855"/>
      <c r="I1" s="855"/>
      <c r="J1" s="855"/>
    </row>
    <row r="2" spans="1:10" ht="15">
      <c r="A2" s="845" t="s">
        <v>391</v>
      </c>
      <c r="B2" s="845"/>
      <c r="C2" s="845"/>
      <c r="D2" s="845"/>
      <c r="E2" s="845"/>
      <c r="F2" s="845"/>
      <c r="G2" s="845"/>
      <c r="H2" s="845"/>
      <c r="I2" s="845"/>
      <c r="J2" s="845"/>
    </row>
    <row r="3" spans="1:10" s="4" customFormat="1" ht="15">
      <c r="A3" s="135"/>
      <c r="B3" s="135"/>
      <c r="C3" s="135"/>
      <c r="D3" s="135"/>
      <c r="E3" s="135"/>
      <c r="F3" s="135"/>
      <c r="G3" s="135"/>
      <c r="H3" s="135"/>
      <c r="I3" s="905" t="s">
        <v>194</v>
      </c>
      <c r="J3" s="905"/>
    </row>
    <row r="4" spans="1:10" ht="17.25" customHeight="1" thickBot="1">
      <c r="A4" s="866" t="s">
        <v>456</v>
      </c>
      <c r="B4" s="866"/>
      <c r="C4" s="907" t="s">
        <v>463</v>
      </c>
      <c r="D4" s="907"/>
      <c r="E4" s="39"/>
      <c r="F4" s="16"/>
      <c r="G4" s="39"/>
      <c r="H4" s="39" t="s">
        <v>180</v>
      </c>
      <c r="I4" s="906" t="s">
        <v>461</v>
      </c>
      <c r="J4" s="906"/>
    </row>
    <row r="5" spans="1:10" ht="15" customHeight="1">
      <c r="A5" s="6"/>
      <c r="B5" s="42" t="s">
        <v>41</v>
      </c>
      <c r="C5" s="42"/>
      <c r="D5" s="42" t="s">
        <v>105</v>
      </c>
      <c r="E5" s="42"/>
      <c r="F5" s="42" t="s">
        <v>106</v>
      </c>
      <c r="G5" s="42"/>
      <c r="H5" s="42" t="s">
        <v>0</v>
      </c>
      <c r="I5" s="78"/>
      <c r="J5" s="6"/>
    </row>
    <row r="6" spans="1:10" ht="15" customHeight="1">
      <c r="A6" s="11"/>
      <c r="B6" s="19" t="s">
        <v>154</v>
      </c>
      <c r="C6" s="19"/>
      <c r="D6" s="19" t="s">
        <v>238</v>
      </c>
      <c r="E6" s="19"/>
      <c r="F6" s="19" t="s">
        <v>280</v>
      </c>
      <c r="G6" s="19"/>
      <c r="H6" s="19" t="s">
        <v>1</v>
      </c>
      <c r="I6" s="19"/>
      <c r="J6" s="11"/>
    </row>
    <row r="7" spans="1:10" s="111" customFormat="1" ht="15" customHeight="1">
      <c r="A7" s="33"/>
      <c r="B7" s="172" t="s">
        <v>34</v>
      </c>
      <c r="C7" s="172" t="s">
        <v>216</v>
      </c>
      <c r="D7" s="172" t="s">
        <v>34</v>
      </c>
      <c r="E7" s="171" t="s">
        <v>216</v>
      </c>
      <c r="F7" s="172" t="s">
        <v>34</v>
      </c>
      <c r="G7" s="172" t="s">
        <v>216</v>
      </c>
      <c r="H7" s="172" t="s">
        <v>34</v>
      </c>
      <c r="I7" s="172" t="s">
        <v>216</v>
      </c>
      <c r="J7" s="33"/>
    </row>
    <row r="8" spans="1:10" s="182" customFormat="1" ht="15" customHeight="1" thickBot="1">
      <c r="A8" s="181" t="s">
        <v>47</v>
      </c>
      <c r="B8" s="225" t="s">
        <v>144</v>
      </c>
      <c r="C8" s="225" t="s">
        <v>28</v>
      </c>
      <c r="D8" s="225" t="s">
        <v>144</v>
      </c>
      <c r="E8" s="225" t="s">
        <v>28</v>
      </c>
      <c r="F8" s="225" t="s">
        <v>144</v>
      </c>
      <c r="G8" s="225" t="s">
        <v>28</v>
      </c>
      <c r="H8" s="225" t="s">
        <v>144</v>
      </c>
      <c r="I8" s="225" t="s">
        <v>28</v>
      </c>
      <c r="J8" s="420" t="s">
        <v>25</v>
      </c>
    </row>
    <row r="9" spans="1:10" s="240" customFormat="1" ht="15" customHeight="1" thickTop="1">
      <c r="A9" s="9" t="s">
        <v>329</v>
      </c>
      <c r="B9" s="510">
        <v>15886</v>
      </c>
      <c r="C9" s="510">
        <v>1763346</v>
      </c>
      <c r="D9" s="510">
        <v>4321</v>
      </c>
      <c r="E9" s="510">
        <v>592686</v>
      </c>
      <c r="F9" s="519">
        <v>0</v>
      </c>
      <c r="G9" s="519">
        <v>0</v>
      </c>
      <c r="H9" s="510">
        <f>B9+D9+F9</f>
        <v>20207</v>
      </c>
      <c r="I9" s="510">
        <f>C9+E9+G9</f>
        <v>2356032</v>
      </c>
      <c r="J9" s="401" t="s">
        <v>379</v>
      </c>
    </row>
    <row r="10" spans="1:10" s="167" customFormat="1" ht="15" customHeight="1">
      <c r="A10" s="241" t="s">
        <v>29</v>
      </c>
      <c r="B10" s="511">
        <v>29090</v>
      </c>
      <c r="C10" s="511">
        <v>2967180</v>
      </c>
      <c r="D10" s="511">
        <v>1021</v>
      </c>
      <c r="E10" s="511">
        <v>133751</v>
      </c>
      <c r="F10" s="520">
        <v>0</v>
      </c>
      <c r="G10" s="520">
        <v>0</v>
      </c>
      <c r="H10" s="511">
        <f t="shared" ref="H10:H23" si="0">B10+D10+F10</f>
        <v>30111</v>
      </c>
      <c r="I10" s="511">
        <f t="shared" ref="I10:I23" si="1">C10+E10+G10</f>
        <v>3100931</v>
      </c>
      <c r="J10" s="242" t="s">
        <v>30</v>
      </c>
    </row>
    <row r="11" spans="1:10" s="167" customFormat="1" ht="15" customHeight="1">
      <c r="A11" s="9" t="s">
        <v>3</v>
      </c>
      <c r="B11" s="510">
        <v>34970</v>
      </c>
      <c r="C11" s="510">
        <v>4621035</v>
      </c>
      <c r="D11" s="510">
        <v>8248</v>
      </c>
      <c r="E11" s="510">
        <v>1051397</v>
      </c>
      <c r="F11" s="510">
        <v>1995</v>
      </c>
      <c r="G11" s="510">
        <v>399000</v>
      </c>
      <c r="H11" s="510">
        <f t="shared" si="0"/>
        <v>45213</v>
      </c>
      <c r="I11" s="510">
        <f t="shared" si="1"/>
        <v>6071432</v>
      </c>
      <c r="J11" s="401" t="s">
        <v>15</v>
      </c>
    </row>
    <row r="12" spans="1:10" s="167" customFormat="1" ht="15" customHeight="1">
      <c r="A12" s="233" t="s">
        <v>320</v>
      </c>
      <c r="B12" s="511">
        <v>18797</v>
      </c>
      <c r="C12" s="511">
        <v>2107545</v>
      </c>
      <c r="D12" s="511">
        <v>10039</v>
      </c>
      <c r="E12" s="511">
        <v>1226079</v>
      </c>
      <c r="F12" s="520">
        <v>493</v>
      </c>
      <c r="G12" s="511">
        <v>132984</v>
      </c>
      <c r="H12" s="511">
        <f t="shared" si="0"/>
        <v>29329</v>
      </c>
      <c r="I12" s="511">
        <f t="shared" si="1"/>
        <v>3466608</v>
      </c>
      <c r="J12" s="238" t="s">
        <v>316</v>
      </c>
    </row>
    <row r="13" spans="1:10" s="167" customFormat="1" ht="15" customHeight="1">
      <c r="A13" s="9" t="s">
        <v>4</v>
      </c>
      <c r="B13" s="510">
        <v>212416</v>
      </c>
      <c r="C13" s="510">
        <v>24427840</v>
      </c>
      <c r="D13" s="510">
        <v>65061</v>
      </c>
      <c r="E13" s="510">
        <v>9108540</v>
      </c>
      <c r="F13" s="519">
        <v>0</v>
      </c>
      <c r="G13" s="519">
        <v>0</v>
      </c>
      <c r="H13" s="510">
        <f t="shared" si="0"/>
        <v>277477</v>
      </c>
      <c r="I13" s="510">
        <f t="shared" si="1"/>
        <v>33536380</v>
      </c>
      <c r="J13" s="401" t="s">
        <v>16</v>
      </c>
    </row>
    <row r="14" spans="1:10" s="167" customFormat="1" ht="15" customHeight="1">
      <c r="A14" s="233" t="s">
        <v>5</v>
      </c>
      <c r="B14" s="511">
        <v>30290</v>
      </c>
      <c r="C14" s="511">
        <v>3543930</v>
      </c>
      <c r="D14" s="511">
        <v>10548</v>
      </c>
      <c r="E14" s="511">
        <v>1428468</v>
      </c>
      <c r="F14" s="511">
        <v>0</v>
      </c>
      <c r="G14" s="520">
        <v>0</v>
      </c>
      <c r="H14" s="511">
        <f t="shared" si="0"/>
        <v>40838</v>
      </c>
      <c r="I14" s="511">
        <f t="shared" si="1"/>
        <v>4972398</v>
      </c>
      <c r="J14" s="238" t="s">
        <v>23</v>
      </c>
    </row>
    <row r="15" spans="1:10" s="167" customFormat="1" ht="15" customHeight="1">
      <c r="A15" s="9" t="s">
        <v>6</v>
      </c>
      <c r="B15" s="510">
        <v>45917</v>
      </c>
      <c r="C15" s="510">
        <v>5505829</v>
      </c>
      <c r="D15" s="510">
        <v>10417</v>
      </c>
      <c r="E15" s="510">
        <v>1443704</v>
      </c>
      <c r="F15" s="519">
        <v>0</v>
      </c>
      <c r="G15" s="519">
        <v>0</v>
      </c>
      <c r="H15" s="510">
        <f t="shared" si="0"/>
        <v>56334</v>
      </c>
      <c r="I15" s="510">
        <f t="shared" si="1"/>
        <v>6949533</v>
      </c>
      <c r="J15" s="401" t="s">
        <v>380</v>
      </c>
    </row>
    <row r="16" spans="1:10" s="167" customFormat="1" ht="15" customHeight="1">
      <c r="A16" s="233" t="s">
        <v>11</v>
      </c>
      <c r="B16" s="511">
        <v>33934</v>
      </c>
      <c r="C16" s="511">
        <v>3918545</v>
      </c>
      <c r="D16" s="511">
        <v>7628</v>
      </c>
      <c r="E16" s="511">
        <v>966047</v>
      </c>
      <c r="F16" s="520">
        <v>0</v>
      </c>
      <c r="G16" s="520">
        <v>0</v>
      </c>
      <c r="H16" s="511">
        <f t="shared" si="0"/>
        <v>41562</v>
      </c>
      <c r="I16" s="511">
        <f t="shared" si="1"/>
        <v>4884592</v>
      </c>
      <c r="J16" s="238" t="s">
        <v>21</v>
      </c>
    </row>
    <row r="17" spans="1:15" s="167" customFormat="1" ht="15" customHeight="1">
      <c r="A17" s="9" t="s">
        <v>2</v>
      </c>
      <c r="B17" s="510">
        <v>9100</v>
      </c>
      <c r="C17" s="510">
        <v>1032274</v>
      </c>
      <c r="D17" s="510">
        <v>667</v>
      </c>
      <c r="E17" s="510">
        <v>86710</v>
      </c>
      <c r="F17" s="510">
        <v>316</v>
      </c>
      <c r="G17" s="510">
        <v>66992</v>
      </c>
      <c r="H17" s="510">
        <f t="shared" si="0"/>
        <v>10083</v>
      </c>
      <c r="I17" s="510">
        <f t="shared" si="1"/>
        <v>1185976</v>
      </c>
      <c r="J17" s="401" t="s">
        <v>14</v>
      </c>
    </row>
    <row r="18" spans="1:15" s="167" customFormat="1" ht="15" customHeight="1">
      <c r="A18" s="233" t="s">
        <v>7</v>
      </c>
      <c r="B18" s="511">
        <v>46293</v>
      </c>
      <c r="C18" s="580">
        <v>5054497</v>
      </c>
      <c r="D18" s="511">
        <v>20626</v>
      </c>
      <c r="E18" s="511">
        <v>2454494</v>
      </c>
      <c r="F18" s="520">
        <v>0</v>
      </c>
      <c r="G18" s="520">
        <v>0</v>
      </c>
      <c r="H18" s="511">
        <f t="shared" si="0"/>
        <v>66919</v>
      </c>
      <c r="I18" s="511">
        <f t="shared" si="1"/>
        <v>7508991</v>
      </c>
      <c r="J18" s="238" t="s">
        <v>17</v>
      </c>
    </row>
    <row r="19" spans="1:15" s="167" customFormat="1" ht="15" customHeight="1">
      <c r="A19" s="9" t="s">
        <v>8</v>
      </c>
      <c r="B19" s="510">
        <v>36477</v>
      </c>
      <c r="C19" s="510">
        <v>4313404</v>
      </c>
      <c r="D19" s="510">
        <v>14126</v>
      </c>
      <c r="E19" s="510">
        <v>1907010</v>
      </c>
      <c r="F19" s="519">
        <v>0</v>
      </c>
      <c r="G19" s="519">
        <v>0</v>
      </c>
      <c r="H19" s="510">
        <f t="shared" si="0"/>
        <v>50603</v>
      </c>
      <c r="I19" s="510">
        <f t="shared" si="1"/>
        <v>6220414</v>
      </c>
      <c r="J19" s="401" t="s">
        <v>18</v>
      </c>
    </row>
    <row r="20" spans="1:15" s="167" customFormat="1" ht="15" customHeight="1">
      <c r="A20" s="233" t="s">
        <v>9</v>
      </c>
      <c r="B20" s="511">
        <v>32478</v>
      </c>
      <c r="C20" s="511">
        <v>3408460</v>
      </c>
      <c r="D20" s="511">
        <v>3432</v>
      </c>
      <c r="E20" s="511">
        <v>408488</v>
      </c>
      <c r="F20" s="520">
        <v>0</v>
      </c>
      <c r="G20" s="520">
        <v>0</v>
      </c>
      <c r="H20" s="511">
        <f t="shared" si="0"/>
        <v>35910</v>
      </c>
      <c r="I20" s="511">
        <f t="shared" si="1"/>
        <v>3816948</v>
      </c>
      <c r="J20" s="238" t="s">
        <v>19</v>
      </c>
    </row>
    <row r="21" spans="1:15" s="167" customFormat="1" ht="15" customHeight="1">
      <c r="A21" s="9" t="s">
        <v>10</v>
      </c>
      <c r="B21" s="510">
        <v>32206</v>
      </c>
      <c r="C21" s="510">
        <v>3687687</v>
      </c>
      <c r="D21" s="510">
        <v>5833</v>
      </c>
      <c r="E21" s="510">
        <v>749728</v>
      </c>
      <c r="F21" s="510">
        <v>4006</v>
      </c>
      <c r="G21" s="510">
        <v>801200</v>
      </c>
      <c r="H21" s="510">
        <f t="shared" si="0"/>
        <v>42045</v>
      </c>
      <c r="I21" s="510">
        <f t="shared" si="1"/>
        <v>5238615</v>
      </c>
      <c r="J21" s="401" t="s">
        <v>20</v>
      </c>
    </row>
    <row r="22" spans="1:15" s="246" customFormat="1" ht="15" customHeight="1">
      <c r="A22" s="233" t="s">
        <v>12</v>
      </c>
      <c r="B22" s="511">
        <v>25587</v>
      </c>
      <c r="C22" s="511">
        <v>2558700</v>
      </c>
      <c r="D22" s="511">
        <v>6993</v>
      </c>
      <c r="E22" s="511">
        <v>839160</v>
      </c>
      <c r="F22" s="520">
        <v>0</v>
      </c>
      <c r="G22" s="520">
        <v>0</v>
      </c>
      <c r="H22" s="511">
        <f t="shared" si="0"/>
        <v>32580</v>
      </c>
      <c r="I22" s="511">
        <f t="shared" si="1"/>
        <v>3397860</v>
      </c>
      <c r="J22" s="238" t="s">
        <v>24</v>
      </c>
    </row>
    <row r="23" spans="1:15" s="167" customFormat="1" ht="15" customHeight="1" thickBot="1">
      <c r="A23" s="9" t="s">
        <v>13</v>
      </c>
      <c r="B23" s="510">
        <v>48077</v>
      </c>
      <c r="C23" s="510">
        <v>5801079</v>
      </c>
      <c r="D23" s="510">
        <v>16924</v>
      </c>
      <c r="E23" s="510">
        <v>2085372</v>
      </c>
      <c r="F23" s="510">
        <v>1588</v>
      </c>
      <c r="G23" s="510">
        <v>300132</v>
      </c>
      <c r="H23" s="510">
        <f t="shared" si="0"/>
        <v>66589</v>
      </c>
      <c r="I23" s="510">
        <f t="shared" si="1"/>
        <v>8186583</v>
      </c>
      <c r="J23" s="401" t="s">
        <v>22</v>
      </c>
    </row>
    <row r="24" spans="1:15" s="182" customFormat="1" ht="15" customHeight="1" thickBot="1">
      <c r="A24" s="197" t="s">
        <v>0</v>
      </c>
      <c r="B24" s="183">
        <f>SUM(B9:B23)</f>
        <v>651518</v>
      </c>
      <c r="C24" s="183">
        <f t="shared" ref="C24:I24" si="2">SUM(C9:C23)</f>
        <v>74711351</v>
      </c>
      <c r="D24" s="183">
        <f t="shared" si="2"/>
        <v>185884</v>
      </c>
      <c r="E24" s="183">
        <f t="shared" si="2"/>
        <v>24481634</v>
      </c>
      <c r="F24" s="183">
        <f t="shared" si="2"/>
        <v>8398</v>
      </c>
      <c r="G24" s="183">
        <f t="shared" si="2"/>
        <v>1700308</v>
      </c>
      <c r="H24" s="183">
        <f t="shared" si="2"/>
        <v>845800</v>
      </c>
      <c r="I24" s="183">
        <f t="shared" si="2"/>
        <v>100893293</v>
      </c>
      <c r="J24" s="190" t="s">
        <v>1</v>
      </c>
    </row>
    <row r="25" spans="1:15" ht="15">
      <c r="A25" s="891"/>
      <c r="B25" s="891"/>
      <c r="C25" s="891"/>
      <c r="D25" s="891"/>
      <c r="E25" s="891"/>
      <c r="F25" s="891"/>
      <c r="G25" s="891"/>
      <c r="H25" s="891"/>
      <c r="I25" s="593"/>
      <c r="J25" s="596"/>
      <c r="L25" s="3"/>
    </row>
    <row r="26" spans="1:15" ht="12.75" customHeight="1">
      <c r="A26" s="615"/>
      <c r="B26" s="615"/>
      <c r="C26" s="615"/>
      <c r="D26" s="615"/>
      <c r="E26" s="615"/>
      <c r="F26" s="615"/>
      <c r="G26" s="615"/>
      <c r="H26" s="615"/>
      <c r="I26" s="615"/>
      <c r="J26" s="587"/>
      <c r="K26" s="167"/>
      <c r="L26" s="167"/>
      <c r="M26" s="167"/>
      <c r="N26" s="167"/>
      <c r="O26" s="167"/>
    </row>
    <row r="27" spans="1:15" ht="15">
      <c r="A27" s="615"/>
      <c r="B27" s="615"/>
      <c r="C27" s="615"/>
      <c r="D27" s="615"/>
      <c r="E27" s="615"/>
      <c r="F27" s="586"/>
      <c r="G27" s="586"/>
      <c r="H27" s="586"/>
      <c r="I27" s="586"/>
      <c r="J27" s="586"/>
      <c r="K27" s="233"/>
      <c r="L27" s="233"/>
      <c r="M27" s="233"/>
      <c r="N27" s="233"/>
      <c r="O27" s="233"/>
    </row>
    <row r="28" spans="1:15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</row>
    <row r="29" spans="1:15" ht="15">
      <c r="A29" s="167"/>
      <c r="B29" s="233"/>
      <c r="C29" s="167"/>
      <c r="D29" s="240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</row>
    <row r="30" spans="1:15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</row>
    <row r="31" spans="1:15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</row>
    <row r="32" spans="1:15" ht="15">
      <c r="A32" s="167"/>
      <c r="B32" s="167"/>
      <c r="C32" s="167"/>
      <c r="D32" s="167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167"/>
    </row>
    <row r="33" spans="1:1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</row>
    <row r="34" spans="1:15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</row>
    <row r="35" spans="1:15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</row>
  </sheetData>
  <mergeCells count="7">
    <mergeCell ref="A25:H25"/>
    <mergeCell ref="I3:J3"/>
    <mergeCell ref="A1:J1"/>
    <mergeCell ref="A2:J2"/>
    <mergeCell ref="I4:J4"/>
    <mergeCell ref="A4:B4"/>
    <mergeCell ref="C4:D4"/>
  </mergeCells>
  <phoneticPr fontId="3" type="noConversion"/>
  <printOptions horizontalCentered="1" verticalCentered="1"/>
  <pageMargins left="0.23622047244094491" right="0.23" top="1.66" bottom="1.8110236220472442" header="0.19685039370078741" footer="0.78740157480314965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M27"/>
  <sheetViews>
    <sheetView rightToLeft="1" zoomScale="110" zoomScaleNormal="110" zoomScaleSheetLayoutView="100" workbookViewId="0">
      <selection activeCell="H4" sqref="H4"/>
    </sheetView>
  </sheetViews>
  <sheetFormatPr defaultRowHeight="12.75"/>
  <cols>
    <col min="1" max="1" width="11.28515625" customWidth="1"/>
    <col min="2" max="2" width="12.140625" customWidth="1"/>
    <col min="3" max="3" width="14.140625" customWidth="1"/>
    <col min="4" max="4" width="11.7109375" customWidth="1"/>
    <col min="5" max="5" width="14" customWidth="1"/>
    <col min="6" max="6" width="12.85546875" customWidth="1"/>
    <col min="7" max="7" width="15.140625" customWidth="1"/>
    <col min="8" max="8" width="17.28515625" customWidth="1"/>
    <col min="9" max="9" width="1" hidden="1" customWidth="1"/>
    <col min="10" max="10" width="1.42578125" hidden="1" customWidth="1"/>
  </cols>
  <sheetData>
    <row r="1" spans="1:13" ht="15">
      <c r="A1" s="908" t="s">
        <v>460</v>
      </c>
      <c r="B1" s="908"/>
      <c r="C1" s="908"/>
      <c r="D1" s="908"/>
      <c r="E1" s="908"/>
      <c r="F1" s="908"/>
      <c r="G1" s="908"/>
      <c r="H1" s="908"/>
    </row>
    <row r="2" spans="1:13" ht="15">
      <c r="A2" s="909" t="s">
        <v>390</v>
      </c>
      <c r="B2" s="909"/>
      <c r="C2" s="909"/>
      <c r="D2" s="909"/>
      <c r="E2" s="909"/>
      <c r="F2" s="909"/>
      <c r="G2" s="909"/>
      <c r="H2" s="909"/>
    </row>
    <row r="3" spans="1:13" s="4" customFormat="1" ht="17.25" customHeight="1">
      <c r="A3" s="138"/>
      <c r="B3" s="138"/>
      <c r="C3" s="138"/>
      <c r="D3" s="138"/>
      <c r="E3" s="138"/>
      <c r="F3" s="138"/>
      <c r="G3" s="905" t="s">
        <v>194</v>
      </c>
      <c r="H3" s="905"/>
    </row>
    <row r="4" spans="1:13" ht="17.25" customHeight="1" thickBot="1">
      <c r="A4" s="866" t="s">
        <v>456</v>
      </c>
      <c r="B4" s="866"/>
      <c r="C4" s="71" t="s">
        <v>160</v>
      </c>
      <c r="D4" s="11"/>
      <c r="E4" s="11"/>
      <c r="F4" s="72"/>
      <c r="G4" s="73" t="s">
        <v>301</v>
      </c>
      <c r="H4" s="74" t="s">
        <v>461</v>
      </c>
      <c r="I4" s="2"/>
    </row>
    <row r="5" spans="1:13" ht="15" customHeight="1">
      <c r="A5" s="6"/>
      <c r="B5" s="77" t="s">
        <v>42</v>
      </c>
      <c r="C5" s="77"/>
      <c r="D5" s="77" t="s">
        <v>41</v>
      </c>
      <c r="E5" s="77"/>
      <c r="F5" s="911" t="s">
        <v>0</v>
      </c>
      <c r="G5" s="911"/>
      <c r="H5" s="77"/>
    </row>
    <row r="6" spans="1:13" ht="15" customHeight="1">
      <c r="A6" s="11"/>
      <c r="B6" s="75" t="s">
        <v>155</v>
      </c>
      <c r="C6" s="75"/>
      <c r="D6" s="122" t="s">
        <v>154</v>
      </c>
      <c r="E6" s="75"/>
      <c r="F6" s="909" t="s">
        <v>1</v>
      </c>
      <c r="G6" s="909"/>
      <c r="H6" s="75"/>
    </row>
    <row r="7" spans="1:13" ht="15" customHeight="1">
      <c r="A7" s="226"/>
      <c r="B7" s="227" t="s">
        <v>34</v>
      </c>
      <c r="C7" s="227" t="s">
        <v>216</v>
      </c>
      <c r="D7" s="227" t="s">
        <v>34</v>
      </c>
      <c r="E7" s="227" t="s">
        <v>216</v>
      </c>
      <c r="F7" s="227" t="s">
        <v>34</v>
      </c>
      <c r="G7" s="227" t="s">
        <v>216</v>
      </c>
      <c r="H7" s="76"/>
    </row>
    <row r="8" spans="1:13" s="2" customFormat="1" ht="15" customHeight="1" thickBot="1">
      <c r="A8" s="437" t="s">
        <v>48</v>
      </c>
      <c r="B8" s="438" t="s">
        <v>144</v>
      </c>
      <c r="C8" s="439" t="s">
        <v>28</v>
      </c>
      <c r="D8" s="439" t="s">
        <v>144</v>
      </c>
      <c r="E8" s="439" t="s">
        <v>28</v>
      </c>
      <c r="F8" s="439" t="s">
        <v>144</v>
      </c>
      <c r="G8" s="439" t="s">
        <v>28</v>
      </c>
      <c r="H8" s="440" t="s">
        <v>25</v>
      </c>
    </row>
    <row r="9" spans="1:13" s="240" customFormat="1" ht="15" customHeight="1" thickTop="1">
      <c r="A9" s="6" t="s">
        <v>329</v>
      </c>
      <c r="B9" s="512">
        <v>3723</v>
      </c>
      <c r="C9" s="512">
        <v>281712</v>
      </c>
      <c r="D9" s="512">
        <v>3003</v>
      </c>
      <c r="E9" s="512">
        <v>204204</v>
      </c>
      <c r="F9" s="512">
        <f>B9+D9</f>
        <v>6726</v>
      </c>
      <c r="G9" s="512">
        <f>C9+E9</f>
        <v>485916</v>
      </c>
      <c r="H9" s="6" t="s">
        <v>379</v>
      </c>
    </row>
    <row r="10" spans="1:13" s="167" customFormat="1" ht="15" customHeight="1">
      <c r="A10" s="268" t="s">
        <v>29</v>
      </c>
      <c r="B10" s="442">
        <v>20697</v>
      </c>
      <c r="C10" s="235">
        <v>1717851</v>
      </c>
      <c r="D10" s="442">
        <v>11409</v>
      </c>
      <c r="E10" s="235">
        <v>775812</v>
      </c>
      <c r="F10" s="442">
        <f t="shared" ref="F10:F22" si="0">B10+D10</f>
        <v>32106</v>
      </c>
      <c r="G10" s="442">
        <f t="shared" ref="G10:G22" si="1">C10+E10</f>
        <v>2493663</v>
      </c>
      <c r="H10" s="269" t="s">
        <v>30</v>
      </c>
    </row>
    <row r="11" spans="1:13" s="167" customFormat="1" ht="15" customHeight="1">
      <c r="A11" s="6" t="s">
        <v>3</v>
      </c>
      <c r="B11" s="512">
        <v>25415</v>
      </c>
      <c r="C11" s="512">
        <v>2211105</v>
      </c>
      <c r="D11" s="512">
        <v>7430</v>
      </c>
      <c r="E11" s="512">
        <v>445800</v>
      </c>
      <c r="F11" s="512">
        <f t="shared" si="0"/>
        <v>32845</v>
      </c>
      <c r="G11" s="512">
        <f t="shared" si="1"/>
        <v>2656905</v>
      </c>
      <c r="H11" s="6" t="s">
        <v>15</v>
      </c>
    </row>
    <row r="12" spans="1:13" s="167" customFormat="1" ht="15" customHeight="1">
      <c r="A12" s="268" t="s">
        <v>320</v>
      </c>
      <c r="B12" s="442">
        <v>15924</v>
      </c>
      <c r="C12" s="235">
        <v>1564649</v>
      </c>
      <c r="D12" s="442">
        <v>3177</v>
      </c>
      <c r="E12" s="235">
        <v>174735</v>
      </c>
      <c r="F12" s="442">
        <f t="shared" si="0"/>
        <v>19101</v>
      </c>
      <c r="G12" s="442">
        <f t="shared" si="1"/>
        <v>1739384</v>
      </c>
      <c r="H12" s="269" t="s">
        <v>316</v>
      </c>
      <c r="M12" s="166"/>
    </row>
    <row r="13" spans="1:13" s="167" customFormat="1" ht="15" customHeight="1">
      <c r="A13" s="6" t="s">
        <v>4</v>
      </c>
      <c r="B13" s="512">
        <v>204378</v>
      </c>
      <c r="C13" s="512">
        <v>20642178</v>
      </c>
      <c r="D13" s="512">
        <v>15946</v>
      </c>
      <c r="E13" s="512">
        <v>1052436</v>
      </c>
      <c r="F13" s="512">
        <f t="shared" si="0"/>
        <v>220324</v>
      </c>
      <c r="G13" s="512">
        <f t="shared" si="1"/>
        <v>21694614</v>
      </c>
      <c r="H13" s="6" t="s">
        <v>16</v>
      </c>
    </row>
    <row r="14" spans="1:13" s="167" customFormat="1" ht="15" customHeight="1">
      <c r="A14" s="270" t="s">
        <v>5</v>
      </c>
      <c r="B14" s="442">
        <v>0</v>
      </c>
      <c r="C14" s="235">
        <v>0</v>
      </c>
      <c r="D14" s="442">
        <v>1252</v>
      </c>
      <c r="E14" s="235">
        <v>78876</v>
      </c>
      <c r="F14" s="442">
        <f t="shared" si="0"/>
        <v>1252</v>
      </c>
      <c r="G14" s="442">
        <f t="shared" si="1"/>
        <v>78876</v>
      </c>
      <c r="H14" s="271" t="s">
        <v>23</v>
      </c>
    </row>
    <row r="15" spans="1:13" s="167" customFormat="1" ht="15" customHeight="1">
      <c r="A15" s="6" t="s">
        <v>6</v>
      </c>
      <c r="B15" s="512">
        <v>25794</v>
      </c>
      <c r="C15" s="512">
        <v>2138660</v>
      </c>
      <c r="D15" s="512">
        <v>0</v>
      </c>
      <c r="E15" s="512">
        <v>0</v>
      </c>
      <c r="F15" s="512">
        <f t="shared" si="0"/>
        <v>25794</v>
      </c>
      <c r="G15" s="512">
        <f t="shared" si="1"/>
        <v>2138660</v>
      </c>
      <c r="H15" s="6" t="s">
        <v>380</v>
      </c>
    </row>
    <row r="16" spans="1:13" s="167" customFormat="1" ht="15" customHeight="1">
      <c r="A16" s="270" t="s">
        <v>11</v>
      </c>
      <c r="B16" s="442">
        <v>10779</v>
      </c>
      <c r="C16" s="235">
        <v>881670</v>
      </c>
      <c r="D16" s="442">
        <v>1731</v>
      </c>
      <c r="E16" s="235">
        <v>77895</v>
      </c>
      <c r="F16" s="442">
        <f t="shared" si="0"/>
        <v>12510</v>
      </c>
      <c r="G16" s="442">
        <f t="shared" si="1"/>
        <v>959565</v>
      </c>
      <c r="H16" s="271" t="s">
        <v>21</v>
      </c>
    </row>
    <row r="17" spans="1:10" s="167" customFormat="1" ht="15" customHeight="1">
      <c r="A17" s="6" t="s">
        <v>2</v>
      </c>
      <c r="B17" s="512">
        <v>4266</v>
      </c>
      <c r="C17" s="512">
        <v>339004</v>
      </c>
      <c r="D17" s="512">
        <v>3220</v>
      </c>
      <c r="E17" s="512">
        <v>167440</v>
      </c>
      <c r="F17" s="512">
        <f t="shared" si="0"/>
        <v>7486</v>
      </c>
      <c r="G17" s="512">
        <f t="shared" si="1"/>
        <v>506444</v>
      </c>
      <c r="H17" s="6" t="s">
        <v>14</v>
      </c>
    </row>
    <row r="18" spans="1:10" s="167" customFormat="1" ht="15" customHeight="1">
      <c r="A18" s="270" t="s">
        <v>7</v>
      </c>
      <c r="B18" s="442">
        <v>20362</v>
      </c>
      <c r="C18" s="580">
        <v>1593110</v>
      </c>
      <c r="D18" s="442">
        <v>3840</v>
      </c>
      <c r="E18" s="235">
        <v>161280</v>
      </c>
      <c r="F18" s="442">
        <f t="shared" si="0"/>
        <v>24202</v>
      </c>
      <c r="G18" s="442">
        <f t="shared" si="1"/>
        <v>1754390</v>
      </c>
      <c r="H18" s="271" t="s">
        <v>17</v>
      </c>
    </row>
    <row r="19" spans="1:10" s="167" customFormat="1" ht="15" customHeight="1">
      <c r="A19" s="6" t="s">
        <v>8</v>
      </c>
      <c r="B19" s="512">
        <v>12407</v>
      </c>
      <c r="C19" s="512">
        <v>1575689</v>
      </c>
      <c r="D19" s="512">
        <v>1917</v>
      </c>
      <c r="E19" s="512">
        <v>157194</v>
      </c>
      <c r="F19" s="512">
        <f t="shared" si="0"/>
        <v>14324</v>
      </c>
      <c r="G19" s="512">
        <f t="shared" si="1"/>
        <v>1732883</v>
      </c>
      <c r="H19" s="6" t="s">
        <v>18</v>
      </c>
    </row>
    <row r="20" spans="1:10" s="167" customFormat="1" ht="15" customHeight="1">
      <c r="A20" s="270" t="s">
        <v>9</v>
      </c>
      <c r="B20" s="442">
        <v>4741</v>
      </c>
      <c r="C20" s="235">
        <v>633491</v>
      </c>
      <c r="D20" s="442">
        <v>4098</v>
      </c>
      <c r="E20" s="235">
        <v>327840</v>
      </c>
      <c r="F20" s="442">
        <f t="shared" si="0"/>
        <v>8839</v>
      </c>
      <c r="G20" s="442">
        <f t="shared" si="1"/>
        <v>961331</v>
      </c>
      <c r="H20" s="271" t="s">
        <v>19</v>
      </c>
    </row>
    <row r="21" spans="1:10" s="167" customFormat="1" ht="15" customHeight="1">
      <c r="A21" s="6" t="s">
        <v>10</v>
      </c>
      <c r="B21" s="512">
        <v>13823</v>
      </c>
      <c r="C21" s="512">
        <v>1382300</v>
      </c>
      <c r="D21" s="512">
        <v>2174</v>
      </c>
      <c r="E21" s="512">
        <v>134788</v>
      </c>
      <c r="F21" s="512">
        <f t="shared" si="0"/>
        <v>15997</v>
      </c>
      <c r="G21" s="512">
        <f t="shared" si="1"/>
        <v>1517088</v>
      </c>
      <c r="H21" s="6" t="s">
        <v>20</v>
      </c>
    </row>
    <row r="22" spans="1:10" s="167" customFormat="1" ht="15" customHeight="1">
      <c r="A22" s="270" t="s">
        <v>12</v>
      </c>
      <c r="B22" s="442">
        <v>4473</v>
      </c>
      <c r="C22" s="235">
        <v>447300</v>
      </c>
      <c r="D22" s="442">
        <v>906</v>
      </c>
      <c r="E22" s="235">
        <v>58890</v>
      </c>
      <c r="F22" s="442">
        <f t="shared" si="0"/>
        <v>5379</v>
      </c>
      <c r="G22" s="442">
        <f t="shared" si="1"/>
        <v>506190</v>
      </c>
      <c r="H22" s="271" t="s">
        <v>24</v>
      </c>
    </row>
    <row r="23" spans="1:10" s="167" customFormat="1" ht="15" customHeight="1" thickBot="1">
      <c r="A23" s="441" t="s">
        <v>13</v>
      </c>
      <c r="B23" s="512">
        <v>33776</v>
      </c>
      <c r="C23" s="512">
        <v>3377600</v>
      </c>
      <c r="D23" s="512">
        <v>3783</v>
      </c>
      <c r="E23" s="512">
        <v>321555</v>
      </c>
      <c r="F23" s="512">
        <f t="shared" ref="F23" si="2">B23+D23</f>
        <v>37559</v>
      </c>
      <c r="G23" s="512">
        <f t="shared" ref="G23" si="3">C23+E23</f>
        <v>3699155</v>
      </c>
      <c r="H23" s="441" t="s">
        <v>22</v>
      </c>
    </row>
    <row r="24" spans="1:10" s="240" customFormat="1" ht="16.5" customHeight="1" thickBot="1">
      <c r="A24" s="272" t="s">
        <v>0</v>
      </c>
      <c r="B24" s="514">
        <f t="shared" ref="B24:G24" si="4">SUM(B9:B23)</f>
        <v>400558</v>
      </c>
      <c r="C24" s="514">
        <f t="shared" si="4"/>
        <v>38786319</v>
      </c>
      <c r="D24" s="514">
        <f t="shared" si="4"/>
        <v>63886</v>
      </c>
      <c r="E24" s="521">
        <f t="shared" si="4"/>
        <v>4138745</v>
      </c>
      <c r="F24" s="514">
        <f t="shared" si="4"/>
        <v>464444</v>
      </c>
      <c r="G24" s="515">
        <f t="shared" si="4"/>
        <v>42925064</v>
      </c>
      <c r="H24" s="272" t="s">
        <v>1</v>
      </c>
    </row>
    <row r="25" spans="1:10" ht="15">
      <c r="A25" s="891"/>
      <c r="B25" s="891"/>
      <c r="C25" s="891"/>
      <c r="D25" s="891"/>
      <c r="E25" s="593"/>
      <c r="F25" s="593"/>
      <c r="G25" s="593"/>
      <c r="H25" s="910"/>
      <c r="I25" s="910"/>
      <c r="J25" s="599"/>
    </row>
    <row r="26" spans="1:10" ht="14.25">
      <c r="A26" s="593"/>
      <c r="B26" s="614"/>
      <c r="C26" s="614"/>
      <c r="D26" s="614"/>
      <c r="E26" s="614"/>
      <c r="F26" s="614"/>
      <c r="G26" s="614"/>
      <c r="H26" s="614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mergeCells count="8">
    <mergeCell ref="G3:H3"/>
    <mergeCell ref="A4:B4"/>
    <mergeCell ref="A1:H1"/>
    <mergeCell ref="A2:H2"/>
    <mergeCell ref="H25:I25"/>
    <mergeCell ref="A25:D25"/>
    <mergeCell ref="F5:G5"/>
    <mergeCell ref="F6:G6"/>
  </mergeCells>
  <phoneticPr fontId="3" type="noConversion"/>
  <printOptions horizontalCentered="1" verticalCentered="1"/>
  <pageMargins left="0.23622047244094491" right="0.27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8:J27"/>
  <sheetViews>
    <sheetView rightToLeft="1" zoomScale="80" zoomScaleNormal="80" zoomScaleSheetLayoutView="100" workbookViewId="0">
      <selection activeCell="O10" sqref="O10"/>
    </sheetView>
  </sheetViews>
  <sheetFormatPr defaultRowHeight="12.75"/>
  <sheetData>
    <row r="18" spans="1:10">
      <c r="C18" s="593"/>
    </row>
    <row r="25" spans="1:10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M30"/>
  <sheetViews>
    <sheetView rightToLeft="1" showWhiteSpace="0" zoomScale="110" zoomScaleNormal="110" zoomScaleSheetLayoutView="91" workbookViewId="0">
      <selection activeCell="G15" sqref="G15"/>
    </sheetView>
  </sheetViews>
  <sheetFormatPr defaultRowHeight="12.75"/>
  <cols>
    <col min="1" max="1" width="8.7109375" customWidth="1"/>
    <col min="2" max="2" width="12.85546875" style="124" customWidth="1"/>
    <col min="3" max="3" width="11.7109375" style="3" customWidth="1"/>
    <col min="4" max="4" width="11.85546875" style="3" customWidth="1"/>
    <col min="5" max="5" width="13.28515625" style="3" customWidth="1"/>
    <col min="6" max="6" width="12.140625" style="3" customWidth="1"/>
    <col min="7" max="7" width="13.5703125" style="3" customWidth="1"/>
    <col min="8" max="8" width="8.85546875" style="3" customWidth="1"/>
    <col min="9" max="9" width="11.5703125" style="3" customWidth="1"/>
    <col min="10" max="10" width="16.140625" customWidth="1"/>
    <col min="11" max="11" width="0.28515625" hidden="1" customWidth="1"/>
    <col min="12" max="12" width="11.7109375" customWidth="1"/>
  </cols>
  <sheetData>
    <row r="1" spans="1:13" ht="24.75" customHeight="1">
      <c r="A1" s="855" t="s">
        <v>464</v>
      </c>
      <c r="B1" s="855"/>
      <c r="C1" s="855"/>
      <c r="D1" s="855"/>
      <c r="E1" s="855"/>
      <c r="F1" s="855"/>
      <c r="G1" s="855"/>
      <c r="H1" s="855"/>
      <c r="I1" s="855"/>
      <c r="J1" s="855"/>
      <c r="K1" s="11"/>
    </row>
    <row r="2" spans="1:13" ht="15">
      <c r="A2" s="845" t="s">
        <v>386</v>
      </c>
      <c r="B2" s="845"/>
      <c r="C2" s="845"/>
      <c r="D2" s="845"/>
      <c r="E2" s="845"/>
      <c r="F2" s="845"/>
      <c r="G2" s="845"/>
      <c r="H2" s="845"/>
      <c r="I2" s="845"/>
      <c r="J2" s="845"/>
      <c r="K2" s="11"/>
    </row>
    <row r="3" spans="1:13" s="4" customFormat="1" ht="15">
      <c r="A3" s="135"/>
      <c r="B3" s="369"/>
      <c r="C3" s="135"/>
      <c r="D3" s="135"/>
      <c r="E3" s="135"/>
      <c r="F3" s="135"/>
      <c r="G3" s="135"/>
      <c r="H3" s="135"/>
      <c r="I3" s="899" t="s">
        <v>194</v>
      </c>
      <c r="J3" s="899"/>
      <c r="K3" s="11"/>
    </row>
    <row r="4" spans="1:13" ht="15.75" customHeight="1" thickBot="1">
      <c r="A4" s="866" t="s">
        <v>456</v>
      </c>
      <c r="B4" s="866"/>
      <c r="C4" s="914" t="s">
        <v>253</v>
      </c>
      <c r="D4" s="914"/>
      <c r="E4" s="79"/>
      <c r="F4" s="79"/>
      <c r="G4" s="38"/>
      <c r="H4" s="38"/>
      <c r="I4" s="38" t="s">
        <v>302</v>
      </c>
      <c r="J4" s="36" t="s">
        <v>461</v>
      </c>
      <c r="K4" s="26"/>
      <c r="L4" s="2"/>
    </row>
    <row r="5" spans="1:13" ht="15" customHeight="1">
      <c r="A5" s="23"/>
      <c r="B5" s="370" t="s">
        <v>41</v>
      </c>
      <c r="C5" s="81"/>
      <c r="D5" s="81" t="s">
        <v>56</v>
      </c>
      <c r="E5" s="81"/>
      <c r="F5" s="81" t="s">
        <v>57</v>
      </c>
      <c r="G5" s="81"/>
      <c r="H5" s="81" t="s">
        <v>59</v>
      </c>
      <c r="I5" s="82"/>
      <c r="J5" s="17"/>
      <c r="K5" s="24"/>
    </row>
    <row r="6" spans="1:13" ht="15" customHeight="1">
      <c r="A6" s="26"/>
      <c r="B6" s="369" t="s">
        <v>154</v>
      </c>
      <c r="C6" s="80"/>
      <c r="D6" s="80" t="s">
        <v>313</v>
      </c>
      <c r="E6" s="80"/>
      <c r="F6" s="80" t="s">
        <v>258</v>
      </c>
      <c r="G6" s="80"/>
      <c r="H6" s="80" t="s">
        <v>257</v>
      </c>
      <c r="I6" s="29"/>
      <c r="J6" s="25"/>
      <c r="K6" s="25"/>
      <c r="M6" s="4"/>
    </row>
    <row r="7" spans="1:13" s="182" customFormat="1" ht="15" customHeight="1">
      <c r="A7" s="114"/>
      <c r="B7" s="371" t="s">
        <v>177</v>
      </c>
      <c r="C7" s="33" t="s">
        <v>216</v>
      </c>
      <c r="D7" s="33" t="s">
        <v>177</v>
      </c>
      <c r="E7" s="33" t="s">
        <v>216</v>
      </c>
      <c r="F7" s="33" t="s">
        <v>177</v>
      </c>
      <c r="G7" s="33" t="s">
        <v>216</v>
      </c>
      <c r="H7" s="33" t="s">
        <v>177</v>
      </c>
      <c r="I7" s="33" t="s">
        <v>216</v>
      </c>
      <c r="J7" s="114"/>
      <c r="K7" s="113"/>
    </row>
    <row r="8" spans="1:13" s="182" customFormat="1" ht="15" customHeight="1" thickBot="1">
      <c r="A8" s="419" t="s">
        <v>55</v>
      </c>
      <c r="B8" s="443" t="s">
        <v>119</v>
      </c>
      <c r="C8" s="444" t="s">
        <v>28</v>
      </c>
      <c r="D8" s="444" t="s">
        <v>119</v>
      </c>
      <c r="E8" s="444" t="s">
        <v>28</v>
      </c>
      <c r="F8" s="444" t="s">
        <v>119</v>
      </c>
      <c r="G8" s="444" t="s">
        <v>28</v>
      </c>
      <c r="H8" s="444" t="s">
        <v>119</v>
      </c>
      <c r="I8" s="444" t="s">
        <v>28</v>
      </c>
      <c r="J8" s="445" t="s">
        <v>25</v>
      </c>
      <c r="K8" s="113"/>
    </row>
    <row r="9" spans="1:13" s="240" customFormat="1" ht="15" customHeight="1" thickTop="1">
      <c r="A9" s="23" t="s">
        <v>329</v>
      </c>
      <c r="B9" s="47">
        <v>366</v>
      </c>
      <c r="C9" s="47">
        <v>4819</v>
      </c>
      <c r="D9" s="23">
        <v>0</v>
      </c>
      <c r="E9" s="23">
        <v>0</v>
      </c>
      <c r="F9" s="23">
        <v>832</v>
      </c>
      <c r="G9" s="47">
        <v>21053</v>
      </c>
      <c r="H9" s="23">
        <v>0</v>
      </c>
      <c r="I9" s="23">
        <v>0</v>
      </c>
      <c r="J9" s="23" t="s">
        <v>379</v>
      </c>
      <c r="K9" s="239"/>
    </row>
    <row r="10" spans="1:13" s="167" customFormat="1" ht="15" customHeight="1">
      <c r="A10" s="233" t="s">
        <v>29</v>
      </c>
      <c r="B10" s="234">
        <v>0</v>
      </c>
      <c r="C10" s="234">
        <v>0</v>
      </c>
      <c r="D10" s="235">
        <v>0</v>
      </c>
      <c r="E10" s="235">
        <v>0</v>
      </c>
      <c r="F10" s="236">
        <v>984</v>
      </c>
      <c r="G10" s="235">
        <v>14760</v>
      </c>
      <c r="H10" s="237">
        <v>0</v>
      </c>
      <c r="I10" s="235">
        <v>0</v>
      </c>
      <c r="J10" s="238" t="s">
        <v>30</v>
      </c>
      <c r="K10" s="166"/>
    </row>
    <row r="11" spans="1:13" s="167" customFormat="1" ht="15" customHeight="1">
      <c r="A11" s="27" t="s">
        <v>3</v>
      </c>
      <c r="B11" s="47">
        <v>0</v>
      </c>
      <c r="C11" s="47">
        <v>0</v>
      </c>
      <c r="D11" s="47">
        <v>0</v>
      </c>
      <c r="E11" s="47">
        <v>0</v>
      </c>
      <c r="F11" s="47">
        <v>3249</v>
      </c>
      <c r="G11" s="47">
        <v>48735</v>
      </c>
      <c r="H11" s="47">
        <v>0</v>
      </c>
      <c r="I11" s="47">
        <v>0</v>
      </c>
      <c r="J11" s="27" t="s">
        <v>15</v>
      </c>
      <c r="K11" s="166"/>
    </row>
    <row r="12" spans="1:13" s="167" customFormat="1" ht="15" customHeight="1">
      <c r="A12" s="233" t="s">
        <v>320</v>
      </c>
      <c r="B12" s="234">
        <v>0</v>
      </c>
      <c r="C12" s="234">
        <v>0</v>
      </c>
      <c r="D12" s="235">
        <v>0</v>
      </c>
      <c r="E12" s="235">
        <v>0</v>
      </c>
      <c r="F12" s="236">
        <v>1690</v>
      </c>
      <c r="G12" s="235">
        <v>25667</v>
      </c>
      <c r="H12" s="237">
        <v>25</v>
      </c>
      <c r="I12" s="235">
        <v>875</v>
      </c>
      <c r="J12" s="238" t="s">
        <v>316</v>
      </c>
      <c r="K12" s="166"/>
    </row>
    <row r="13" spans="1:13" s="167" customFormat="1" ht="15" customHeight="1">
      <c r="A13" s="27" t="s">
        <v>4</v>
      </c>
      <c r="B13" s="47">
        <v>0</v>
      </c>
      <c r="C13" s="27">
        <v>0</v>
      </c>
      <c r="D13" s="27">
        <v>0</v>
      </c>
      <c r="E13" s="27">
        <v>0</v>
      </c>
      <c r="F13" s="47">
        <v>10113</v>
      </c>
      <c r="G13" s="47">
        <v>182034</v>
      </c>
      <c r="H13" s="47">
        <v>591</v>
      </c>
      <c r="I13" s="47">
        <v>16548</v>
      </c>
      <c r="J13" s="27" t="s">
        <v>16</v>
      </c>
      <c r="K13" s="166"/>
    </row>
    <row r="14" spans="1:13" s="167" customFormat="1" ht="15" customHeight="1">
      <c r="A14" s="241" t="s">
        <v>5</v>
      </c>
      <c r="B14" s="234">
        <v>1401</v>
      </c>
      <c r="C14" s="234">
        <v>18213</v>
      </c>
      <c r="D14" s="235">
        <v>0</v>
      </c>
      <c r="E14" s="235">
        <v>0</v>
      </c>
      <c r="F14" s="236">
        <v>1346</v>
      </c>
      <c r="G14" s="235">
        <v>22153</v>
      </c>
      <c r="H14" s="237">
        <v>50</v>
      </c>
      <c r="I14" s="235">
        <v>1750</v>
      </c>
      <c r="J14" s="242" t="s">
        <v>23</v>
      </c>
      <c r="K14" s="166"/>
    </row>
    <row r="15" spans="1:13" s="167" customFormat="1" ht="15" customHeight="1">
      <c r="A15" s="27" t="s">
        <v>6</v>
      </c>
      <c r="B15" s="47">
        <v>0</v>
      </c>
      <c r="C15" s="27">
        <v>0</v>
      </c>
      <c r="D15" s="47">
        <v>0</v>
      </c>
      <c r="E15" s="47">
        <v>0</v>
      </c>
      <c r="F15" s="47">
        <v>1067</v>
      </c>
      <c r="G15" s="47">
        <v>19328</v>
      </c>
      <c r="H15" s="47">
        <v>122</v>
      </c>
      <c r="I15" s="47">
        <v>4148</v>
      </c>
      <c r="J15" s="27" t="s">
        <v>380</v>
      </c>
      <c r="K15" s="166"/>
    </row>
    <row r="16" spans="1:13" s="167" customFormat="1" ht="18" customHeight="1">
      <c r="A16" s="241" t="s">
        <v>11</v>
      </c>
      <c r="B16" s="234">
        <v>489</v>
      </c>
      <c r="C16" s="234">
        <v>7824</v>
      </c>
      <c r="D16" s="235">
        <v>1669</v>
      </c>
      <c r="E16" s="235">
        <v>26726</v>
      </c>
      <c r="F16" s="236">
        <v>927</v>
      </c>
      <c r="G16" s="235">
        <v>13513</v>
      </c>
      <c r="H16" s="237">
        <v>140</v>
      </c>
      <c r="I16" s="235">
        <v>4900</v>
      </c>
      <c r="J16" s="242" t="s">
        <v>21</v>
      </c>
      <c r="K16" s="166"/>
    </row>
    <row r="17" spans="1:13" s="167" customFormat="1" ht="18" customHeight="1">
      <c r="A17" s="27" t="s">
        <v>2</v>
      </c>
      <c r="B17" s="47">
        <v>172</v>
      </c>
      <c r="C17" s="47">
        <v>1720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27" t="s">
        <v>14</v>
      </c>
      <c r="K17" s="166"/>
    </row>
    <row r="18" spans="1:13" s="167" customFormat="1" ht="15" customHeight="1">
      <c r="A18" s="241" t="s">
        <v>7</v>
      </c>
      <c r="B18" s="234">
        <v>5992</v>
      </c>
      <c r="C18" s="580">
        <v>59920</v>
      </c>
      <c r="D18" s="235">
        <v>0</v>
      </c>
      <c r="E18" s="235">
        <v>0</v>
      </c>
      <c r="F18" s="236">
        <v>2633</v>
      </c>
      <c r="G18" s="235">
        <v>38450</v>
      </c>
      <c r="H18" s="237">
        <v>0</v>
      </c>
      <c r="I18" s="235">
        <v>0</v>
      </c>
      <c r="J18" s="242" t="s">
        <v>17</v>
      </c>
      <c r="K18" s="166"/>
    </row>
    <row r="19" spans="1:13" s="167" customFormat="1" ht="15" customHeight="1">
      <c r="A19" s="27" t="s">
        <v>8</v>
      </c>
      <c r="B19" s="47">
        <v>1302</v>
      </c>
      <c r="C19" s="47">
        <v>16926</v>
      </c>
      <c r="D19" s="47">
        <v>0</v>
      </c>
      <c r="E19" s="47">
        <v>0</v>
      </c>
      <c r="F19" s="47">
        <v>1530</v>
      </c>
      <c r="G19" s="47">
        <v>22935</v>
      </c>
      <c r="H19" s="47">
        <v>0</v>
      </c>
      <c r="I19" s="47">
        <v>0</v>
      </c>
      <c r="J19" s="27" t="s">
        <v>18</v>
      </c>
      <c r="K19" s="166"/>
    </row>
    <row r="20" spans="1:13" s="167" customFormat="1" ht="14.25" customHeight="1">
      <c r="A20" s="241" t="s">
        <v>9</v>
      </c>
      <c r="B20" s="234">
        <v>0</v>
      </c>
      <c r="C20" s="234">
        <v>0</v>
      </c>
      <c r="D20" s="235">
        <v>0</v>
      </c>
      <c r="E20" s="235">
        <v>0</v>
      </c>
      <c r="F20" s="236">
        <v>1360</v>
      </c>
      <c r="G20" s="235">
        <v>13596</v>
      </c>
      <c r="H20" s="237">
        <v>0</v>
      </c>
      <c r="I20" s="235">
        <v>0</v>
      </c>
      <c r="J20" s="242" t="s">
        <v>19</v>
      </c>
      <c r="K20" s="166"/>
    </row>
    <row r="21" spans="1:13" s="167" customFormat="1" ht="12.75" customHeight="1">
      <c r="A21" s="27" t="s">
        <v>10</v>
      </c>
      <c r="B21" s="47">
        <v>0</v>
      </c>
      <c r="C21" s="47">
        <v>0</v>
      </c>
      <c r="D21" s="47">
        <v>0</v>
      </c>
      <c r="E21" s="47">
        <v>0</v>
      </c>
      <c r="F21" s="47">
        <v>2336</v>
      </c>
      <c r="G21" s="47">
        <v>23370</v>
      </c>
      <c r="H21" s="47">
        <v>0</v>
      </c>
      <c r="I21" s="47">
        <v>0</v>
      </c>
      <c r="J21" s="27" t="s">
        <v>20</v>
      </c>
      <c r="K21" s="166"/>
    </row>
    <row r="22" spans="1:13" s="167" customFormat="1" ht="15" customHeight="1">
      <c r="A22" s="241" t="s">
        <v>12</v>
      </c>
      <c r="B22" s="234">
        <v>877</v>
      </c>
      <c r="C22" s="234">
        <v>9647</v>
      </c>
      <c r="D22" s="235">
        <v>0</v>
      </c>
      <c r="E22" s="235">
        <v>0</v>
      </c>
      <c r="F22" s="236">
        <v>1087</v>
      </c>
      <c r="G22" s="235">
        <v>10870</v>
      </c>
      <c r="H22" s="237">
        <v>40</v>
      </c>
      <c r="I22" s="235">
        <v>1520</v>
      </c>
      <c r="J22" s="242" t="s">
        <v>24</v>
      </c>
      <c r="K22" s="166"/>
    </row>
    <row r="23" spans="1:13" s="167" customFormat="1" ht="15" customHeight="1" thickBot="1">
      <c r="A23" s="27" t="s">
        <v>13</v>
      </c>
      <c r="B23" s="47">
        <v>0</v>
      </c>
      <c r="C23" s="47">
        <v>0</v>
      </c>
      <c r="D23" s="47">
        <v>0</v>
      </c>
      <c r="E23" s="47">
        <v>0</v>
      </c>
      <c r="F23" s="47">
        <v>3391</v>
      </c>
      <c r="G23" s="47">
        <v>61038</v>
      </c>
      <c r="H23" s="47">
        <v>10</v>
      </c>
      <c r="I23" s="47">
        <v>350</v>
      </c>
      <c r="J23" s="27" t="s">
        <v>22</v>
      </c>
      <c r="K23" s="166"/>
    </row>
    <row r="24" spans="1:13" s="111" customFormat="1" ht="17.25" customHeight="1" thickBot="1">
      <c r="A24" s="446" t="s">
        <v>0</v>
      </c>
      <c r="B24" s="183">
        <f>SUM(B9:B23)</f>
        <v>10599</v>
      </c>
      <c r="C24" s="183">
        <f t="shared" ref="C24:I24" si="0">SUM(C9:C23)</f>
        <v>119069</v>
      </c>
      <c r="D24" s="183">
        <f t="shared" si="0"/>
        <v>1669</v>
      </c>
      <c r="E24" s="183">
        <f t="shared" si="0"/>
        <v>26726</v>
      </c>
      <c r="F24" s="183">
        <f t="shared" si="0"/>
        <v>32545</v>
      </c>
      <c r="G24" s="183">
        <f t="shared" si="0"/>
        <v>517502</v>
      </c>
      <c r="H24" s="183">
        <f t="shared" si="0"/>
        <v>978</v>
      </c>
      <c r="I24" s="183">
        <f t="shared" si="0"/>
        <v>30091</v>
      </c>
      <c r="J24" s="447" t="s">
        <v>1</v>
      </c>
      <c r="K24" s="41"/>
    </row>
    <row r="25" spans="1:13" s="4" customFormat="1" ht="17.25" customHeight="1">
      <c r="A25" s="891"/>
      <c r="B25" s="891"/>
      <c r="C25" s="891"/>
      <c r="D25" s="891"/>
      <c r="E25" s="891"/>
      <c r="F25" s="891"/>
      <c r="G25" s="891"/>
      <c r="H25" s="891"/>
      <c r="I25" s="598"/>
      <c r="J25" s="612"/>
      <c r="K25" s="11"/>
    </row>
    <row r="26" spans="1:13" ht="14.25">
      <c r="A26" s="593"/>
      <c r="B26" s="613"/>
      <c r="C26" s="593"/>
      <c r="D26" s="593"/>
      <c r="E26" s="593"/>
      <c r="F26" s="593"/>
      <c r="G26" s="593"/>
      <c r="H26" s="599"/>
      <c r="I26" s="599"/>
      <c r="J26" s="596"/>
    </row>
    <row r="27" spans="1:13" ht="16.5" customHeight="1">
      <c r="A27" s="912"/>
      <c r="B27" s="912"/>
      <c r="C27" s="593"/>
      <c r="D27" s="593"/>
      <c r="E27" s="593"/>
      <c r="F27" s="593"/>
      <c r="G27" s="593"/>
      <c r="H27" s="599"/>
      <c r="I27" s="913"/>
      <c r="J27" s="913"/>
    </row>
    <row r="28" spans="1:13" ht="15">
      <c r="E28" s="245"/>
      <c r="F28" s="239"/>
      <c r="G28" s="245"/>
      <c r="H28" s="245"/>
      <c r="I28" s="245"/>
      <c r="J28" s="167"/>
      <c r="K28" s="167"/>
      <c r="L28" s="167"/>
      <c r="M28" s="167"/>
    </row>
    <row r="29" spans="1:13">
      <c r="E29" s="245"/>
      <c r="F29" s="245"/>
      <c r="G29" s="245"/>
      <c r="H29" s="245"/>
      <c r="I29" s="245"/>
      <c r="J29" s="167"/>
      <c r="K29" s="167"/>
      <c r="L29" s="167"/>
      <c r="M29" s="167"/>
    </row>
    <row r="30" spans="1:13">
      <c r="E30" s="245"/>
      <c r="F30" s="245"/>
      <c r="G30" s="245"/>
      <c r="H30" s="245"/>
      <c r="I30" s="245"/>
      <c r="J30" s="167"/>
      <c r="K30" s="167"/>
      <c r="L30" s="167"/>
      <c r="M30" s="167"/>
    </row>
  </sheetData>
  <mergeCells count="8">
    <mergeCell ref="I3:J3"/>
    <mergeCell ref="A27:B27"/>
    <mergeCell ref="I27:J27"/>
    <mergeCell ref="A1:J1"/>
    <mergeCell ref="A2:J2"/>
    <mergeCell ref="A4:B4"/>
    <mergeCell ref="C4:D4"/>
    <mergeCell ref="A25:H25"/>
  </mergeCells>
  <phoneticPr fontId="3" type="noConversion"/>
  <printOptions horizontalCentered="1" verticalCentered="1"/>
  <pageMargins left="0.23622047244094491" right="0.23" top="1.3779527559055118" bottom="1.8110236220472442" header="0.19685039370078741" footer="0.78740157480314965"/>
  <pageSetup paperSize="9" scale="90" orientation="landscape" r:id="rId1"/>
  <headerFooter alignWithMargins="0"/>
  <cellWatches>
    <cellWatch r="C9"/>
  </cellWatch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M34"/>
  <sheetViews>
    <sheetView rightToLeft="1" zoomScale="120" zoomScaleNormal="120" zoomScaleSheetLayoutView="95" workbookViewId="0">
      <selection activeCell="I8" sqref="I8"/>
    </sheetView>
  </sheetViews>
  <sheetFormatPr defaultRowHeight="12.75"/>
  <cols>
    <col min="1" max="1" width="9.28515625" bestFit="1" customWidth="1"/>
    <col min="2" max="2" width="10.42578125" bestFit="1" customWidth="1"/>
    <col min="3" max="3" width="10.85546875" customWidth="1"/>
    <col min="4" max="4" width="9.42578125" customWidth="1"/>
    <col min="5" max="5" width="11" customWidth="1"/>
    <col min="6" max="6" width="10.28515625" customWidth="1"/>
    <col min="7" max="7" width="11.85546875" customWidth="1"/>
    <col min="8" max="8" width="10.140625" customWidth="1"/>
    <col min="9" max="9" width="12.42578125" customWidth="1"/>
    <col min="10" max="10" width="16" bestFit="1" customWidth="1"/>
    <col min="11" max="11" width="6.7109375" customWidth="1"/>
  </cols>
  <sheetData>
    <row r="1" spans="1:13" ht="15" customHeight="1">
      <c r="A1" s="855" t="s">
        <v>464</v>
      </c>
      <c r="B1" s="855"/>
      <c r="C1" s="855"/>
      <c r="D1" s="855"/>
      <c r="E1" s="855"/>
      <c r="F1" s="855"/>
      <c r="G1" s="855"/>
      <c r="H1" s="855"/>
      <c r="I1" s="855"/>
      <c r="J1" s="855"/>
    </row>
    <row r="2" spans="1:13" ht="12.75" customHeight="1">
      <c r="A2" s="915" t="s">
        <v>386</v>
      </c>
      <c r="B2" s="915"/>
      <c r="C2" s="915"/>
      <c r="D2" s="915"/>
      <c r="E2" s="915"/>
      <c r="F2" s="915"/>
      <c r="G2" s="915"/>
      <c r="H2" s="915"/>
      <c r="I2" s="915"/>
      <c r="J2" s="915"/>
      <c r="K2" t="s">
        <v>321</v>
      </c>
    </row>
    <row r="3" spans="1:13" s="4" customFormat="1" ht="12.75" customHeight="1">
      <c r="A3" s="135"/>
      <c r="B3" s="135"/>
      <c r="C3" s="135"/>
      <c r="D3" s="135"/>
      <c r="E3" s="135"/>
      <c r="F3" s="135"/>
      <c r="G3" s="135"/>
      <c r="H3" s="135"/>
      <c r="I3" s="899" t="s">
        <v>194</v>
      </c>
      <c r="J3" s="899"/>
    </row>
    <row r="4" spans="1:13" ht="31.5" customHeight="1" thickBot="1">
      <c r="A4" s="866" t="s">
        <v>456</v>
      </c>
      <c r="B4" s="866"/>
      <c r="C4" s="914" t="s">
        <v>253</v>
      </c>
      <c r="D4" s="914"/>
      <c r="E4" s="14"/>
      <c r="F4" s="16"/>
      <c r="G4" s="16"/>
      <c r="H4" s="14"/>
      <c r="I4" s="38" t="s">
        <v>259</v>
      </c>
      <c r="J4" s="148" t="s">
        <v>468</v>
      </c>
    </row>
    <row r="5" spans="1:13" ht="30" customHeight="1">
      <c r="A5" s="6"/>
      <c r="B5" s="22" t="s">
        <v>60</v>
      </c>
      <c r="C5" s="21"/>
      <c r="D5" s="22" t="s">
        <v>58</v>
      </c>
      <c r="E5" s="21"/>
      <c r="F5" s="22" t="s">
        <v>61</v>
      </c>
      <c r="G5" s="21"/>
      <c r="H5" s="42" t="s">
        <v>0</v>
      </c>
      <c r="I5" s="78"/>
      <c r="J5" s="6"/>
    </row>
    <row r="6" spans="1:13" ht="29.25" customHeight="1">
      <c r="A6" s="11"/>
      <c r="B6" s="24" t="s">
        <v>191</v>
      </c>
      <c r="C6" s="24"/>
      <c r="D6" s="125" t="s">
        <v>260</v>
      </c>
      <c r="E6" s="24"/>
      <c r="F6" s="119" t="s">
        <v>192</v>
      </c>
      <c r="G6" s="24"/>
      <c r="H6" s="15" t="s">
        <v>1</v>
      </c>
      <c r="I6" s="19"/>
      <c r="J6" s="11"/>
    </row>
    <row r="7" spans="1:13" s="182" customFormat="1" ht="12.75" customHeight="1">
      <c r="A7" s="114"/>
      <c r="B7" s="173" t="s">
        <v>213</v>
      </c>
      <c r="C7" s="173" t="s">
        <v>216</v>
      </c>
      <c r="D7" s="173" t="s">
        <v>213</v>
      </c>
      <c r="E7" s="173" t="s">
        <v>216</v>
      </c>
      <c r="F7" s="173" t="s">
        <v>213</v>
      </c>
      <c r="G7" s="173" t="s">
        <v>216</v>
      </c>
      <c r="H7" s="173" t="s">
        <v>213</v>
      </c>
      <c r="I7" s="174" t="s">
        <v>216</v>
      </c>
      <c r="J7" s="171"/>
    </row>
    <row r="8" spans="1:13" s="240" customFormat="1" ht="15" customHeight="1" thickBot="1">
      <c r="A8" s="448" t="s">
        <v>55</v>
      </c>
      <c r="B8" s="448" t="s">
        <v>119</v>
      </c>
      <c r="C8" s="448" t="s">
        <v>261</v>
      </c>
      <c r="D8" s="448" t="s">
        <v>119</v>
      </c>
      <c r="E8" s="448" t="s">
        <v>261</v>
      </c>
      <c r="F8" s="448" t="s">
        <v>119</v>
      </c>
      <c r="G8" s="448" t="s">
        <v>28</v>
      </c>
      <c r="H8" s="448" t="s">
        <v>214</v>
      </c>
      <c r="I8" s="448" t="s">
        <v>175</v>
      </c>
      <c r="J8" s="448" t="s">
        <v>25</v>
      </c>
    </row>
    <row r="9" spans="1:13" s="240" customFormat="1" ht="15" customHeight="1" thickTop="1">
      <c r="A9" s="6" t="s">
        <v>329</v>
      </c>
      <c r="B9" s="6">
        <v>12</v>
      </c>
      <c r="C9" s="6">
        <v>240</v>
      </c>
      <c r="D9" s="6">
        <v>0</v>
      </c>
      <c r="E9" s="6">
        <v>0</v>
      </c>
      <c r="F9" s="6">
        <v>0</v>
      </c>
      <c r="G9" s="6">
        <v>0</v>
      </c>
      <c r="H9" s="47">
        <f>كاشي!B9+كاشي!D9+كاشي!F9+كاشي!H9+كاشي2!B9+كاشي2!D9+كاشي2!F9</f>
        <v>1210</v>
      </c>
      <c r="I9" s="47">
        <f>كاشي!C9+كاشي!E9+كاشي!G9+كاشي!I9+كاشي2!C9+كاشي2!E9+كاشي2!G9</f>
        <v>26112</v>
      </c>
      <c r="J9" s="6" t="s">
        <v>379</v>
      </c>
      <c r="M9" s="244"/>
    </row>
    <row r="10" spans="1:13" s="167" customFormat="1" ht="15" customHeight="1">
      <c r="A10" s="233" t="s">
        <v>29</v>
      </c>
      <c r="B10" s="273">
        <v>0</v>
      </c>
      <c r="C10" s="235">
        <v>0</v>
      </c>
      <c r="D10" s="274">
        <v>0</v>
      </c>
      <c r="E10" s="274">
        <v>0</v>
      </c>
      <c r="F10" s="275">
        <v>105</v>
      </c>
      <c r="G10" s="235">
        <v>945</v>
      </c>
      <c r="H10" s="235">
        <f>كاشي!B10+كاشي!D10+كاشي!F10+كاشي!H10+كاشي2!B10+كاشي2!D10+كاشي2!F10</f>
        <v>1089</v>
      </c>
      <c r="I10" s="235">
        <f>كاشي!C10+كاشي!E10+كاشي!G10+كاشي!I10+كاشي2!C10+كاشي2!E10+كاشي2!G10</f>
        <v>15705</v>
      </c>
      <c r="J10" s="238" t="s">
        <v>30</v>
      </c>
      <c r="M10" s="245"/>
    </row>
    <row r="11" spans="1:13" s="167" customFormat="1" ht="15" customHeight="1">
      <c r="A11" s="6" t="s">
        <v>3</v>
      </c>
      <c r="B11" s="47">
        <v>0</v>
      </c>
      <c r="C11" s="47">
        <v>0</v>
      </c>
      <c r="D11" s="47">
        <v>0</v>
      </c>
      <c r="E11" s="47">
        <v>0</v>
      </c>
      <c r="F11" s="47">
        <v>177</v>
      </c>
      <c r="G11" s="47">
        <v>885</v>
      </c>
      <c r="H11" s="47">
        <f>كاشي!B11+كاشي!D11+كاشي!F11+كاشي!H11+كاشي2!B11+كاشي2!D11+كاشي2!F11</f>
        <v>3426</v>
      </c>
      <c r="I11" s="47">
        <f>كاشي!C11+كاشي!E11+كاشي!G11+كاشي!I11+كاشي2!C11+كاشي2!E11+كاشي2!G11</f>
        <v>49620</v>
      </c>
      <c r="J11" s="6" t="s">
        <v>15</v>
      </c>
      <c r="M11" s="245"/>
    </row>
    <row r="12" spans="1:13" s="167" customFormat="1" ht="15" customHeight="1">
      <c r="A12" s="233" t="s">
        <v>320</v>
      </c>
      <c r="B12" s="273">
        <v>0</v>
      </c>
      <c r="C12" s="235">
        <v>0</v>
      </c>
      <c r="D12" s="274">
        <v>0</v>
      </c>
      <c r="E12" s="274">
        <v>0</v>
      </c>
      <c r="F12" s="275">
        <v>80</v>
      </c>
      <c r="G12" s="235">
        <v>400</v>
      </c>
      <c r="H12" s="235">
        <f>كاشي!B12+كاشي!D12+كاشي!F12+كاشي!H12+كاشي2!B12+كاشي2!D12+كاشي2!F12</f>
        <v>1795</v>
      </c>
      <c r="I12" s="235">
        <f>كاشي!C12+كاشي!E12+كاشي!G12+كاشي!I12+كاشي2!C12+كاشي2!E12+كاشي2!G12</f>
        <v>26942</v>
      </c>
      <c r="J12" s="238" t="s">
        <v>316</v>
      </c>
      <c r="M12" s="245"/>
    </row>
    <row r="13" spans="1:13" s="167" customFormat="1" ht="15" customHeight="1">
      <c r="A13" s="6" t="s">
        <v>4</v>
      </c>
      <c r="B13" s="47">
        <v>437</v>
      </c>
      <c r="C13" s="47">
        <v>6555</v>
      </c>
      <c r="D13" s="47">
        <v>0</v>
      </c>
      <c r="E13" s="47">
        <v>0</v>
      </c>
      <c r="F13" s="47">
        <v>761</v>
      </c>
      <c r="G13" s="47">
        <v>6849</v>
      </c>
      <c r="H13" s="47">
        <f>كاشي!B13+كاشي!D13+كاشي!F13+كاشي!H13+كاشي2!B13+كاشي2!D13+كاشي2!F13</f>
        <v>11902</v>
      </c>
      <c r="I13" s="47">
        <f>كاشي!C13+كاشي!E13+كاشي!G13+كاشي!I13+كاشي2!C13+كاشي2!E13+كاشي2!G13</f>
        <v>211986</v>
      </c>
      <c r="J13" s="6" t="s">
        <v>16</v>
      </c>
      <c r="M13" s="245"/>
    </row>
    <row r="14" spans="1:13" s="167" customFormat="1" ht="15" customHeight="1">
      <c r="A14" s="241" t="s">
        <v>5</v>
      </c>
      <c r="B14" s="273">
        <v>30</v>
      </c>
      <c r="C14" s="235">
        <v>450</v>
      </c>
      <c r="D14" s="274">
        <v>10</v>
      </c>
      <c r="E14" s="235">
        <v>570</v>
      </c>
      <c r="F14" s="275">
        <v>140</v>
      </c>
      <c r="G14" s="235">
        <v>1260</v>
      </c>
      <c r="H14" s="235">
        <f>كاشي!B14+كاشي!D14+كاشي!F14+كاشي!H14+كاشي2!B14+كاشي2!D14+كاشي2!F14</f>
        <v>2977</v>
      </c>
      <c r="I14" s="235">
        <f>كاشي!C14+كاشي!E14+كاشي!G14+كاشي!I14+كاشي2!C14+كاشي2!E14+كاشي2!G14</f>
        <v>44396</v>
      </c>
      <c r="J14" s="242" t="s">
        <v>23</v>
      </c>
      <c r="M14" s="245"/>
    </row>
    <row r="15" spans="1:13" s="167" customFormat="1" ht="15" customHeight="1">
      <c r="A15" s="6" t="s">
        <v>6</v>
      </c>
      <c r="B15" s="47">
        <v>10</v>
      </c>
      <c r="C15" s="47">
        <v>130</v>
      </c>
      <c r="D15" s="47">
        <v>381</v>
      </c>
      <c r="E15" s="47">
        <v>19050</v>
      </c>
      <c r="F15" s="47">
        <v>172</v>
      </c>
      <c r="G15" s="47">
        <v>1548</v>
      </c>
      <c r="H15" s="47">
        <f>كاشي!B15+كاشي!D15+كاشي!F15+كاشي!H15+كاشي2!B15+كاشي2!D15+كاشي2!F15</f>
        <v>1752</v>
      </c>
      <c r="I15" s="47">
        <f>كاشي!C15+كاشي!E15+كاشي!G15+كاشي!I15+كاشي2!C15+كاشي2!E15+كاشي2!G15</f>
        <v>44204</v>
      </c>
      <c r="J15" s="6" t="s">
        <v>380</v>
      </c>
      <c r="M15" s="245"/>
    </row>
    <row r="16" spans="1:13" s="167" customFormat="1" ht="15" customHeight="1">
      <c r="A16" s="241" t="s">
        <v>11</v>
      </c>
      <c r="B16" s="273">
        <v>23</v>
      </c>
      <c r="C16" s="235">
        <v>322</v>
      </c>
      <c r="D16" s="274">
        <v>0</v>
      </c>
      <c r="E16" s="235">
        <v>0</v>
      </c>
      <c r="F16" s="275">
        <v>269</v>
      </c>
      <c r="G16" s="235">
        <v>2421</v>
      </c>
      <c r="H16" s="235">
        <f>كاشي!B16+كاشي!D16+كاشي!F16+كاشي!H16+كاشي2!B16+كاشي2!D16+كاشي2!F16</f>
        <v>3517</v>
      </c>
      <c r="I16" s="235">
        <f>كاشي!C16+كاشي!E16+كاشي!G16+كاشي!I16+كاشي2!C16+كاشي2!E16+كاشي2!G16</f>
        <v>55706</v>
      </c>
      <c r="J16" s="242" t="s">
        <v>21</v>
      </c>
      <c r="M16" s="245"/>
    </row>
    <row r="17" spans="1:13" s="167" customFormat="1" ht="15" customHeight="1">
      <c r="A17" s="6" t="s">
        <v>2</v>
      </c>
      <c r="B17" s="47">
        <v>18</v>
      </c>
      <c r="C17" s="47">
        <v>234</v>
      </c>
      <c r="D17" s="47">
        <v>0</v>
      </c>
      <c r="E17" s="47">
        <v>0</v>
      </c>
      <c r="F17" s="47">
        <v>33</v>
      </c>
      <c r="G17" s="47">
        <v>198</v>
      </c>
      <c r="H17" s="47">
        <f>كاشي!B17+كاشي!D17+كاشي!F17+كاشي!H17+كاشي2!B17+كاشي2!D17+كاشي2!F17</f>
        <v>223</v>
      </c>
      <c r="I17" s="47">
        <f>كاشي!C17+كاشي!E17+كاشي!G17+كاشي!I17+كاشي2!C17+كاشي2!E17+كاشي2!G17</f>
        <v>2152</v>
      </c>
      <c r="J17" s="6" t="s">
        <v>14</v>
      </c>
      <c r="M17" s="245"/>
    </row>
    <row r="18" spans="1:13" s="167" customFormat="1" ht="15" customHeight="1">
      <c r="A18" s="241" t="s">
        <v>7</v>
      </c>
      <c r="B18" s="273">
        <v>95</v>
      </c>
      <c r="C18" s="580">
        <v>1330</v>
      </c>
      <c r="D18" s="274">
        <v>0</v>
      </c>
      <c r="E18" s="235">
        <v>0</v>
      </c>
      <c r="F18" s="275">
        <v>282</v>
      </c>
      <c r="G18" s="235">
        <v>1410</v>
      </c>
      <c r="H18" s="235">
        <f>كاشي!B18+كاشي!D18+كاشي!F18+كاشي!H18+كاشي2!B18+كاشي2!D18+كاشي2!F18</f>
        <v>9002</v>
      </c>
      <c r="I18" s="235">
        <f>كاشي!C18+كاشي!E18+كاشي!G18+كاشي!I18+كاشي2!C18+كاشي2!E18+كاشي2!G18</f>
        <v>101110</v>
      </c>
      <c r="J18" s="242" t="s">
        <v>17</v>
      </c>
      <c r="M18" s="245"/>
    </row>
    <row r="19" spans="1:13" s="167" customFormat="1" ht="15" customHeight="1">
      <c r="A19" s="6" t="s">
        <v>8</v>
      </c>
      <c r="B19" s="47">
        <v>0</v>
      </c>
      <c r="C19" s="47">
        <v>0</v>
      </c>
      <c r="D19" s="47">
        <v>0</v>
      </c>
      <c r="E19" s="47">
        <v>0</v>
      </c>
      <c r="F19" s="47">
        <v>193</v>
      </c>
      <c r="G19" s="47">
        <v>965</v>
      </c>
      <c r="H19" s="47">
        <f>كاشي!B19+كاشي!D19+كاشي!F19+كاشي!H19+كاشي2!B19+كاشي2!D19+كاشي2!F19</f>
        <v>3025</v>
      </c>
      <c r="I19" s="47">
        <f>كاشي!C19+كاشي!E19+كاشي!G19+كاشي!I19+كاشي2!C19+كاشي2!E19+كاشي2!G19</f>
        <v>40826</v>
      </c>
      <c r="J19" s="6" t="s">
        <v>18</v>
      </c>
      <c r="M19" s="245"/>
    </row>
    <row r="20" spans="1:13" s="167" customFormat="1" ht="15" customHeight="1">
      <c r="A20" s="241" t="s">
        <v>9</v>
      </c>
      <c r="B20" s="273">
        <v>0</v>
      </c>
      <c r="C20" s="235">
        <v>0</v>
      </c>
      <c r="D20" s="274">
        <v>0</v>
      </c>
      <c r="E20" s="235">
        <v>0</v>
      </c>
      <c r="F20" s="275">
        <v>75</v>
      </c>
      <c r="G20" s="235">
        <v>375</v>
      </c>
      <c r="H20" s="235">
        <f>كاشي!B20+كاشي!D20+كاشي!F20+كاشي!H20+كاشي2!B20+كاشي2!D20+كاشي2!F20</f>
        <v>1435</v>
      </c>
      <c r="I20" s="235">
        <f>كاشي!C20+كاشي!E20+كاشي!G20+كاشي!I20+كاشي2!C20+كاشي2!E20+كاشي2!G20</f>
        <v>13971</v>
      </c>
      <c r="J20" s="242" t="s">
        <v>19</v>
      </c>
      <c r="M20" s="245"/>
    </row>
    <row r="21" spans="1:13" s="167" customFormat="1" ht="15" customHeight="1">
      <c r="A21" s="6" t="s">
        <v>10</v>
      </c>
      <c r="B21" s="47">
        <v>0</v>
      </c>
      <c r="C21" s="47">
        <v>0</v>
      </c>
      <c r="D21" s="47">
        <v>0</v>
      </c>
      <c r="E21" s="47">
        <v>0</v>
      </c>
      <c r="F21" s="47">
        <v>132</v>
      </c>
      <c r="G21" s="47">
        <v>660</v>
      </c>
      <c r="H21" s="47">
        <f>كاشي!B21+كاشي!D21+كاشي!F21+كاشي!H21+كاشي2!B21+كاشي2!D21+كاشي2!F21</f>
        <v>2468</v>
      </c>
      <c r="I21" s="47">
        <f>كاشي!C21+كاشي!E21+كاشي!G21+كاشي!I21+كاشي2!C21+كاشي2!E21+كاشي2!G21</f>
        <v>24030</v>
      </c>
      <c r="J21" s="6" t="s">
        <v>20</v>
      </c>
      <c r="M21" s="245"/>
    </row>
    <row r="22" spans="1:13" s="167" customFormat="1" ht="15" customHeight="1">
      <c r="A22" s="241" t="s">
        <v>12</v>
      </c>
      <c r="B22" s="273">
        <v>0</v>
      </c>
      <c r="C22" s="235">
        <v>0</v>
      </c>
      <c r="D22" s="274">
        <v>0</v>
      </c>
      <c r="E22" s="274">
        <v>0</v>
      </c>
      <c r="F22" s="275">
        <v>50</v>
      </c>
      <c r="G22" s="235">
        <v>300</v>
      </c>
      <c r="H22" s="235">
        <f>كاشي!B22+كاشي!D22+كاشي!F22+كاشي!H22+كاشي2!B22+كاشي2!D22+كاشي2!F22</f>
        <v>2054</v>
      </c>
      <c r="I22" s="235">
        <f>كاشي!C22+كاشي!E22+كاشي!G22+كاشي!I22+كاشي2!C22+كاشي2!E22+كاشي2!G22</f>
        <v>22337</v>
      </c>
      <c r="J22" s="242" t="s">
        <v>24</v>
      </c>
      <c r="M22" s="245"/>
    </row>
    <row r="23" spans="1:13" s="240" customFormat="1" ht="15" customHeight="1" thickBot="1">
      <c r="A23" s="441" t="s">
        <v>13</v>
      </c>
      <c r="B23" s="47">
        <v>74</v>
      </c>
      <c r="C23" s="47">
        <v>1036</v>
      </c>
      <c r="D23" s="47">
        <v>0</v>
      </c>
      <c r="E23" s="47">
        <v>0</v>
      </c>
      <c r="F23" s="47">
        <v>183</v>
      </c>
      <c r="G23" s="47">
        <v>1098</v>
      </c>
      <c r="H23" s="47">
        <f>كاشي!B23+كاشي!D23+كاشي!F23+كاشي!H23+كاشي2!B23+كاشي2!D23+كاشي2!F23</f>
        <v>3658</v>
      </c>
      <c r="I23" s="47">
        <f>كاشي!C23+كاشي!E23+كاشي!G23+كاشي!I23+كاشي2!C23+كاشي2!E23+كاشي2!G23</f>
        <v>63522</v>
      </c>
      <c r="J23" s="441" t="s">
        <v>22</v>
      </c>
      <c r="M23" s="244"/>
    </row>
    <row r="24" spans="1:13" s="240" customFormat="1" ht="17.25" customHeight="1" thickBot="1">
      <c r="A24" s="247" t="s">
        <v>0</v>
      </c>
      <c r="B24" s="253">
        <f>SUM(B9:B23)</f>
        <v>699</v>
      </c>
      <c r="C24" s="253">
        <f t="shared" ref="C24:I24" si="0">SUM(C9:C23)</f>
        <v>10297</v>
      </c>
      <c r="D24" s="253">
        <f t="shared" si="0"/>
        <v>391</v>
      </c>
      <c r="E24" s="253">
        <f t="shared" si="0"/>
        <v>19620</v>
      </c>
      <c r="F24" s="253">
        <f t="shared" si="0"/>
        <v>2652</v>
      </c>
      <c r="G24" s="253">
        <f t="shared" si="0"/>
        <v>19314</v>
      </c>
      <c r="H24" s="253">
        <f t="shared" si="0"/>
        <v>49533</v>
      </c>
      <c r="I24" s="253">
        <f t="shared" si="0"/>
        <v>742619</v>
      </c>
      <c r="J24" s="449" t="s">
        <v>1</v>
      </c>
    </row>
    <row r="25" spans="1:13" ht="15">
      <c r="A25" s="611"/>
      <c r="B25" s="611"/>
      <c r="C25" s="611"/>
      <c r="D25" s="611"/>
      <c r="E25" s="611"/>
      <c r="F25" s="611"/>
      <c r="G25" s="611"/>
      <c r="H25" s="599"/>
      <c r="I25" s="593"/>
      <c r="J25" s="593"/>
    </row>
    <row r="26" spans="1:13" ht="15" customHeight="1">
      <c r="A26" s="593"/>
      <c r="B26" s="593"/>
      <c r="C26" s="593"/>
      <c r="D26" s="593"/>
      <c r="E26" s="593"/>
      <c r="F26" s="593"/>
      <c r="G26" s="593"/>
      <c r="H26" s="593"/>
      <c r="I26" s="913"/>
      <c r="J26" s="913"/>
    </row>
    <row r="27" spans="1:13" ht="14.25">
      <c r="A27" s="593"/>
      <c r="B27" s="593"/>
      <c r="C27" s="593"/>
      <c r="D27" s="593"/>
      <c r="E27" s="593" t="s">
        <v>323</v>
      </c>
      <c r="F27" s="593" t="s">
        <v>324</v>
      </c>
      <c r="G27" s="593"/>
      <c r="H27" s="593"/>
      <c r="I27" s="593"/>
      <c r="J27" s="596"/>
    </row>
    <row r="30" spans="1:13">
      <c r="F30" t="s">
        <v>325</v>
      </c>
    </row>
    <row r="31" spans="1:13">
      <c r="E31" t="s">
        <v>322</v>
      </c>
    </row>
    <row r="32" spans="1:13">
      <c r="F32" t="s">
        <v>324</v>
      </c>
    </row>
    <row r="34" spans="6:6">
      <c r="F34" t="s">
        <v>326</v>
      </c>
    </row>
  </sheetData>
  <mergeCells count="6">
    <mergeCell ref="I3:J3"/>
    <mergeCell ref="I26:J26"/>
    <mergeCell ref="A4:B4"/>
    <mergeCell ref="A1:J1"/>
    <mergeCell ref="A2:J2"/>
    <mergeCell ref="C4:D4"/>
  </mergeCells>
  <phoneticPr fontId="3" type="noConversion"/>
  <printOptions horizontalCentered="1" verticalCentered="1"/>
  <pageMargins left="0.23622047244094491" right="0.21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8:J27"/>
  <sheetViews>
    <sheetView rightToLeft="1" zoomScale="80" zoomScaleNormal="80" workbookViewId="0">
      <selection activeCell="P6" sqref="P6"/>
    </sheetView>
  </sheetViews>
  <sheetFormatPr defaultRowHeight="12.75"/>
  <cols>
    <col min="1" max="1" width="7.5703125" customWidth="1"/>
    <col min="3" max="3" width="7.5703125" customWidth="1"/>
  </cols>
  <sheetData>
    <row r="18" spans="1:10">
      <c r="C18" s="593"/>
    </row>
    <row r="25" spans="1:10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J27"/>
  <sheetViews>
    <sheetView rightToLeft="1" zoomScale="90" zoomScaleNormal="90" workbookViewId="0">
      <selection activeCell="C18" sqref="C18"/>
    </sheetView>
  </sheetViews>
  <sheetFormatPr defaultRowHeight="12.75"/>
  <sheetData>
    <row r="18" spans="1:10">
      <c r="C18" s="593"/>
    </row>
    <row r="25" spans="1:10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phoneticPr fontId="3" type="noConversion"/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92D050"/>
  </sheetPr>
  <dimension ref="A1:J28"/>
  <sheetViews>
    <sheetView rightToLeft="1" zoomScale="110" zoomScaleNormal="110" zoomScaleSheetLayoutView="100" workbookViewId="0">
      <selection activeCell="F11" sqref="F11"/>
    </sheetView>
  </sheetViews>
  <sheetFormatPr defaultRowHeight="12.75"/>
  <cols>
    <col min="1" max="1" width="17.85546875" customWidth="1"/>
    <col min="2" max="2" width="9.7109375" customWidth="1"/>
    <col min="3" max="3" width="11.42578125" customWidth="1"/>
    <col min="4" max="4" width="13.7109375" customWidth="1"/>
    <col min="5" max="5" width="15.5703125" customWidth="1"/>
    <col min="6" max="6" width="16.42578125" customWidth="1"/>
    <col min="7" max="7" width="19.5703125" customWidth="1"/>
  </cols>
  <sheetData>
    <row r="1" spans="1:7" ht="25.5" customHeight="1">
      <c r="A1" s="855" t="s">
        <v>466</v>
      </c>
      <c r="B1" s="855"/>
      <c r="C1" s="855"/>
      <c r="D1" s="855"/>
      <c r="E1" s="855"/>
      <c r="F1" s="855"/>
      <c r="G1" s="855"/>
    </row>
    <row r="2" spans="1:7" ht="19.5" customHeight="1">
      <c r="A2" s="916" t="s">
        <v>389</v>
      </c>
      <c r="B2" s="916"/>
      <c r="C2" s="916"/>
      <c r="D2" s="916"/>
      <c r="E2" s="916"/>
      <c r="F2" s="916"/>
      <c r="G2" s="916"/>
    </row>
    <row r="3" spans="1:7" s="4" customFormat="1" ht="13.5" customHeight="1">
      <c r="A3" s="136"/>
      <c r="B3" s="136"/>
      <c r="C3" s="136"/>
      <c r="D3" s="136"/>
      <c r="E3" s="136"/>
      <c r="F3" s="899" t="s">
        <v>194</v>
      </c>
      <c r="G3" s="899"/>
    </row>
    <row r="4" spans="1:7" ht="26.25" thickBot="1">
      <c r="A4" s="672" t="s">
        <v>465</v>
      </c>
      <c r="B4" s="917" t="s">
        <v>360</v>
      </c>
      <c r="C4" s="917"/>
      <c r="D4" s="30"/>
      <c r="E4" s="16"/>
      <c r="F4" s="121" t="s">
        <v>138</v>
      </c>
      <c r="G4" s="399" t="s">
        <v>467</v>
      </c>
    </row>
    <row r="5" spans="1:7" ht="24.75" customHeight="1">
      <c r="A5" s="6"/>
      <c r="B5" s="21" t="s">
        <v>215</v>
      </c>
      <c r="C5" s="21"/>
      <c r="D5" s="83" t="s">
        <v>96</v>
      </c>
      <c r="E5" s="21"/>
      <c r="F5" s="400"/>
      <c r="G5" s="6"/>
    </row>
    <row r="6" spans="1:7" s="111" customFormat="1" ht="15" customHeight="1">
      <c r="A6" s="41"/>
      <c r="B6" s="114" t="s">
        <v>233</v>
      </c>
      <c r="C6" s="114"/>
      <c r="D6" s="175" t="s">
        <v>266</v>
      </c>
      <c r="E6" s="114"/>
      <c r="F6" s="402"/>
      <c r="G6" s="41"/>
    </row>
    <row r="7" spans="1:7" s="182" customFormat="1" ht="16.5" customHeight="1">
      <c r="A7" s="180"/>
      <c r="B7" s="174" t="s">
        <v>39</v>
      </c>
      <c r="C7" s="174" t="s">
        <v>217</v>
      </c>
      <c r="D7" s="174" t="s">
        <v>97</v>
      </c>
      <c r="E7" s="174" t="s">
        <v>216</v>
      </c>
      <c r="F7" s="174" t="s">
        <v>216</v>
      </c>
      <c r="G7" s="180"/>
    </row>
    <row r="8" spans="1:7" s="182" customFormat="1" ht="12.75" customHeight="1" thickBot="1">
      <c r="A8" s="450" t="s">
        <v>77</v>
      </c>
      <c r="B8" s="412" t="s">
        <v>40</v>
      </c>
      <c r="C8" s="412" t="s">
        <v>28</v>
      </c>
      <c r="D8" s="413" t="s">
        <v>144</v>
      </c>
      <c r="E8" s="412" t="s">
        <v>28</v>
      </c>
      <c r="F8" s="412" t="s">
        <v>28</v>
      </c>
      <c r="G8" s="414" t="s">
        <v>25</v>
      </c>
    </row>
    <row r="9" spans="1:7" s="240" customFormat="1" ht="15.75" customHeight="1">
      <c r="A9" s="324" t="s">
        <v>329</v>
      </c>
      <c r="B9" s="451">
        <v>814</v>
      </c>
      <c r="C9" s="49">
        <v>22620</v>
      </c>
      <c r="D9" s="49">
        <v>1692</v>
      </c>
      <c r="E9" s="49">
        <v>1746144</v>
      </c>
      <c r="F9" s="49">
        <f>C9+E9</f>
        <v>1768764</v>
      </c>
      <c r="G9" s="318" t="s">
        <v>379</v>
      </c>
    </row>
    <row r="10" spans="1:7" s="167" customFormat="1" ht="15.75" customHeight="1">
      <c r="A10" s="241" t="s">
        <v>29</v>
      </c>
      <c r="B10" s="234">
        <v>131</v>
      </c>
      <c r="C10" s="234">
        <v>3406</v>
      </c>
      <c r="D10" s="234">
        <v>3546</v>
      </c>
      <c r="E10" s="234">
        <v>3932514</v>
      </c>
      <c r="F10" s="234">
        <f t="shared" ref="F10:F23" si="0">C10+E10</f>
        <v>3935920</v>
      </c>
      <c r="G10" s="242" t="s">
        <v>30</v>
      </c>
    </row>
    <row r="11" spans="1:7" s="167" customFormat="1" ht="15" customHeight="1">
      <c r="A11" s="324" t="s">
        <v>3</v>
      </c>
      <c r="B11" s="49">
        <v>152</v>
      </c>
      <c r="C11" s="49">
        <v>2888</v>
      </c>
      <c r="D11" s="49">
        <v>3963</v>
      </c>
      <c r="E11" s="49">
        <v>4184928</v>
      </c>
      <c r="F11" s="49">
        <f t="shared" si="0"/>
        <v>4187816</v>
      </c>
      <c r="G11" s="318" t="s">
        <v>15</v>
      </c>
    </row>
    <row r="12" spans="1:7" s="167" customFormat="1" ht="14.25" customHeight="1">
      <c r="A12" s="241" t="s">
        <v>320</v>
      </c>
      <c r="B12" s="234">
        <v>277</v>
      </c>
      <c r="C12" s="234">
        <v>8310</v>
      </c>
      <c r="D12" s="234">
        <v>2328</v>
      </c>
      <c r="E12" s="234">
        <v>2421120</v>
      </c>
      <c r="F12" s="234">
        <f t="shared" si="0"/>
        <v>2429430</v>
      </c>
      <c r="G12" s="242" t="s">
        <v>316</v>
      </c>
    </row>
    <row r="13" spans="1:7" s="167" customFormat="1" ht="15" customHeight="1">
      <c r="A13" s="324" t="s">
        <v>4</v>
      </c>
      <c r="B13" s="49">
        <v>4696</v>
      </c>
      <c r="C13" s="49">
        <v>93920</v>
      </c>
      <c r="D13" s="49">
        <v>46458</v>
      </c>
      <c r="E13" s="49">
        <v>52404624</v>
      </c>
      <c r="F13" s="49">
        <f t="shared" si="0"/>
        <v>52498544</v>
      </c>
      <c r="G13" s="318" t="s">
        <v>16</v>
      </c>
    </row>
    <row r="14" spans="1:7" s="167" customFormat="1" ht="12.95" customHeight="1">
      <c r="A14" s="241" t="s">
        <v>5</v>
      </c>
      <c r="B14" s="234">
        <v>1735</v>
      </c>
      <c r="C14" s="234">
        <v>34700</v>
      </c>
      <c r="D14" s="234">
        <v>3870</v>
      </c>
      <c r="E14" s="234">
        <v>4254231</v>
      </c>
      <c r="F14" s="234">
        <f t="shared" si="0"/>
        <v>4288931</v>
      </c>
      <c r="G14" s="242" t="s">
        <v>23</v>
      </c>
    </row>
    <row r="15" spans="1:7" s="167" customFormat="1" ht="12.95" customHeight="1">
      <c r="A15" s="324" t="s">
        <v>6</v>
      </c>
      <c r="B15" s="49">
        <v>1383</v>
      </c>
      <c r="C15" s="49">
        <v>27660</v>
      </c>
      <c r="D15" s="49">
        <v>4731</v>
      </c>
      <c r="E15" s="49">
        <v>5123673</v>
      </c>
      <c r="F15" s="49">
        <f t="shared" si="0"/>
        <v>5151333</v>
      </c>
      <c r="G15" s="318" t="s">
        <v>380</v>
      </c>
    </row>
    <row r="16" spans="1:7" s="167" customFormat="1" ht="12.95" customHeight="1">
      <c r="A16" s="241" t="s">
        <v>11</v>
      </c>
      <c r="B16" s="234">
        <v>894</v>
      </c>
      <c r="C16" s="234">
        <v>17880</v>
      </c>
      <c r="D16" s="234">
        <v>2472</v>
      </c>
      <c r="E16" s="234">
        <v>2585732</v>
      </c>
      <c r="F16" s="234">
        <f t="shared" si="0"/>
        <v>2603612</v>
      </c>
      <c r="G16" s="242" t="s">
        <v>21</v>
      </c>
    </row>
    <row r="17" spans="1:10" s="167" customFormat="1" ht="14.25" customHeight="1">
      <c r="A17" s="324" t="s">
        <v>2</v>
      </c>
      <c r="B17" s="49">
        <v>133</v>
      </c>
      <c r="C17" s="49">
        <v>2793</v>
      </c>
      <c r="D17" s="49">
        <v>1282</v>
      </c>
      <c r="E17" s="49">
        <v>1532116</v>
      </c>
      <c r="F17" s="49">
        <f t="shared" si="0"/>
        <v>1534909</v>
      </c>
      <c r="G17" s="318" t="s">
        <v>14</v>
      </c>
    </row>
    <row r="18" spans="1:10" s="167" customFormat="1" ht="15.75" customHeight="1">
      <c r="A18" s="241" t="s">
        <v>7</v>
      </c>
      <c r="B18" s="234">
        <v>987</v>
      </c>
      <c r="C18" s="580">
        <v>16779</v>
      </c>
      <c r="D18" s="234">
        <v>5240</v>
      </c>
      <c r="E18" s="234">
        <v>5240000</v>
      </c>
      <c r="F18" s="234">
        <f t="shared" si="0"/>
        <v>5256779</v>
      </c>
      <c r="G18" s="242" t="s">
        <v>17</v>
      </c>
    </row>
    <row r="19" spans="1:10" s="167" customFormat="1" ht="12.95" customHeight="1">
      <c r="A19" s="324" t="s">
        <v>8</v>
      </c>
      <c r="B19" s="49">
        <v>2751</v>
      </c>
      <c r="C19" s="49">
        <v>41265</v>
      </c>
      <c r="D19" s="49">
        <v>4314</v>
      </c>
      <c r="E19" s="49">
        <v>4870506</v>
      </c>
      <c r="F19" s="49">
        <f t="shared" si="0"/>
        <v>4911771</v>
      </c>
      <c r="G19" s="318" t="s">
        <v>18</v>
      </c>
    </row>
    <row r="20" spans="1:10" s="167" customFormat="1" ht="15" customHeight="1">
      <c r="A20" s="241" t="s">
        <v>9</v>
      </c>
      <c r="B20" s="234">
        <v>1008</v>
      </c>
      <c r="C20" s="234">
        <v>15120</v>
      </c>
      <c r="D20" s="234">
        <v>2931</v>
      </c>
      <c r="E20" s="234">
        <v>2903906</v>
      </c>
      <c r="F20" s="234">
        <f t="shared" si="0"/>
        <v>2919026</v>
      </c>
      <c r="G20" s="242" t="s">
        <v>19</v>
      </c>
    </row>
    <row r="21" spans="1:10" s="167" customFormat="1" ht="15.75" customHeight="1">
      <c r="A21" s="324" t="s">
        <v>10</v>
      </c>
      <c r="B21" s="49">
        <v>1157</v>
      </c>
      <c r="C21" s="47">
        <v>17355</v>
      </c>
      <c r="D21" s="49">
        <v>3833</v>
      </c>
      <c r="E21" s="47">
        <v>3836833</v>
      </c>
      <c r="F21" s="49">
        <f t="shared" si="0"/>
        <v>3854188</v>
      </c>
      <c r="G21" s="318" t="s">
        <v>20</v>
      </c>
    </row>
    <row r="22" spans="1:10" s="167" customFormat="1" ht="15" customHeight="1">
      <c r="A22" s="241" t="s">
        <v>12</v>
      </c>
      <c r="B22" s="234">
        <v>801</v>
      </c>
      <c r="C22" s="235">
        <v>12015</v>
      </c>
      <c r="D22" s="234">
        <v>1285</v>
      </c>
      <c r="E22" s="235">
        <v>1413920</v>
      </c>
      <c r="F22" s="234">
        <f t="shared" si="0"/>
        <v>1425935</v>
      </c>
      <c r="G22" s="242" t="s">
        <v>24</v>
      </c>
    </row>
    <row r="23" spans="1:10" s="167" customFormat="1" ht="18" customHeight="1" thickBot="1">
      <c r="A23" s="324" t="s">
        <v>13</v>
      </c>
      <c r="B23" s="47">
        <v>921</v>
      </c>
      <c r="C23" s="47">
        <v>13815</v>
      </c>
      <c r="D23" s="49">
        <v>7160</v>
      </c>
      <c r="E23" s="47">
        <v>6565720</v>
      </c>
      <c r="F23" s="49">
        <f t="shared" si="0"/>
        <v>6579535</v>
      </c>
      <c r="G23" s="318" t="s">
        <v>22</v>
      </c>
    </row>
    <row r="24" spans="1:10" s="240" customFormat="1" ht="17.25" customHeight="1" thickBot="1">
      <c r="A24" s="397" t="s">
        <v>0</v>
      </c>
      <c r="B24" s="253">
        <f>SUM(B9:B23)</f>
        <v>17840</v>
      </c>
      <c r="C24" s="253">
        <f t="shared" ref="C24:D24" si="1">SUM(C9:C23)</f>
        <v>330526</v>
      </c>
      <c r="D24" s="253">
        <f t="shared" si="1"/>
        <v>95105</v>
      </c>
      <c r="E24" s="253">
        <f>SUM(E9:E23)</f>
        <v>103015967</v>
      </c>
      <c r="F24" s="253">
        <f>SUM(F9:F23)</f>
        <v>103346493</v>
      </c>
      <c r="G24" s="398" t="s">
        <v>1</v>
      </c>
    </row>
    <row r="25" spans="1:10" s="4" customFormat="1" ht="17.25" customHeight="1">
      <c r="A25" s="891"/>
      <c r="B25" s="891"/>
      <c r="C25" s="891"/>
      <c r="D25" s="891"/>
      <c r="E25" s="891"/>
      <c r="F25" s="891"/>
      <c r="G25" s="891"/>
      <c r="H25" s="891"/>
      <c r="I25" s="593"/>
      <c r="J25" s="593"/>
    </row>
    <row r="26" spans="1:10" ht="14.25">
      <c r="A26" s="593"/>
      <c r="B26" s="593"/>
      <c r="C26" s="593"/>
      <c r="D26" s="593"/>
      <c r="E26" s="593"/>
      <c r="F26" s="593"/>
      <c r="G26" s="596"/>
      <c r="H26" s="599"/>
      <c r="I26" s="599"/>
      <c r="J26" s="593"/>
    </row>
    <row r="27" spans="1:10" ht="15">
      <c r="A27" s="912"/>
      <c r="B27" s="912"/>
      <c r="C27" s="593"/>
      <c r="D27" s="593"/>
      <c r="E27" s="593"/>
      <c r="F27" s="913"/>
      <c r="G27" s="913"/>
      <c r="H27" s="599"/>
      <c r="I27" s="593"/>
      <c r="J27" s="593"/>
    </row>
    <row r="28" spans="1:10">
      <c r="F28" t="s">
        <v>358</v>
      </c>
    </row>
  </sheetData>
  <mergeCells count="7">
    <mergeCell ref="F3:G3"/>
    <mergeCell ref="A27:B27"/>
    <mergeCell ref="F27:G27"/>
    <mergeCell ref="A1:G1"/>
    <mergeCell ref="A2:G2"/>
    <mergeCell ref="A25:H25"/>
    <mergeCell ref="B4:C4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M28"/>
  <sheetViews>
    <sheetView rightToLeft="1" zoomScaleNormal="100" zoomScaleSheetLayoutView="87" workbookViewId="0">
      <selection activeCell="I15" sqref="I15"/>
    </sheetView>
  </sheetViews>
  <sheetFormatPr defaultRowHeight="12.75"/>
  <cols>
    <col min="1" max="1" width="9.140625" customWidth="1"/>
    <col min="2" max="2" width="10.140625" bestFit="1" customWidth="1"/>
    <col min="3" max="3" width="12.42578125" bestFit="1" customWidth="1"/>
    <col min="4" max="4" width="10.140625" bestFit="1" customWidth="1"/>
    <col min="5" max="5" width="12.42578125" bestFit="1" customWidth="1"/>
    <col min="6" max="6" width="10.140625" bestFit="1" customWidth="1"/>
    <col min="7" max="7" width="12.140625" bestFit="1" customWidth="1"/>
    <col min="8" max="8" width="10.140625" bestFit="1" customWidth="1"/>
    <col min="9" max="9" width="12.42578125" bestFit="1" customWidth="1"/>
    <col min="10" max="10" width="12.85546875" style="4" bestFit="1" customWidth="1"/>
    <col min="11" max="11" width="13.5703125" bestFit="1" customWidth="1"/>
    <col min="12" max="12" width="14.42578125" customWidth="1"/>
  </cols>
  <sheetData>
    <row r="1" spans="1:13" ht="15">
      <c r="A1" s="919" t="s">
        <v>466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</row>
    <row r="2" spans="1:13" ht="15.75" customHeight="1">
      <c r="A2" s="921" t="s">
        <v>385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</row>
    <row r="3" spans="1:13" s="4" customFormat="1" ht="15.75" customHeight="1">
      <c r="A3" s="139"/>
      <c r="B3" s="139"/>
      <c r="C3" s="139"/>
      <c r="D3" s="139"/>
      <c r="E3" s="139"/>
      <c r="F3" s="139"/>
      <c r="G3" s="139"/>
      <c r="H3" s="139"/>
      <c r="I3" s="139"/>
      <c r="J3" s="161"/>
      <c r="K3" s="899" t="s">
        <v>194</v>
      </c>
      <c r="L3" s="899"/>
    </row>
    <row r="4" spans="1:13" ht="15.75" customHeight="1" thickBot="1">
      <c r="A4" s="866" t="s">
        <v>456</v>
      </c>
      <c r="B4" s="866"/>
      <c r="C4" s="85" t="s">
        <v>168</v>
      </c>
      <c r="D4" s="86"/>
      <c r="E4" s="11"/>
      <c r="F4" s="87"/>
      <c r="G4" s="87"/>
      <c r="H4" s="86"/>
      <c r="I4" s="85"/>
      <c r="J4" s="85"/>
      <c r="K4" s="920" t="s">
        <v>475</v>
      </c>
      <c r="L4" s="920" t="s">
        <v>50</v>
      </c>
      <c r="M4" s="2"/>
    </row>
    <row r="5" spans="1:13" ht="19.5" customHeight="1">
      <c r="A5" s="6"/>
      <c r="B5" s="923" t="s">
        <v>143</v>
      </c>
      <c r="C5" s="923"/>
      <c r="D5" s="923" t="s">
        <v>142</v>
      </c>
      <c r="E5" s="923"/>
      <c r="F5" s="923" t="s">
        <v>36</v>
      </c>
      <c r="G5" s="923"/>
      <c r="H5" s="923" t="s">
        <v>37</v>
      </c>
      <c r="I5" s="923"/>
      <c r="J5" s="162"/>
      <c r="K5" s="89" t="s">
        <v>0</v>
      </c>
      <c r="L5" s="89"/>
    </row>
    <row r="6" spans="1:13" ht="15" customHeight="1">
      <c r="A6" s="11"/>
      <c r="B6" s="847" t="s">
        <v>152</v>
      </c>
      <c r="C6" s="847"/>
      <c r="D6" s="922" t="s">
        <v>281</v>
      </c>
      <c r="E6" s="922"/>
      <c r="F6" s="922" t="s">
        <v>153</v>
      </c>
      <c r="G6" s="922"/>
      <c r="H6" s="847" t="s">
        <v>150</v>
      </c>
      <c r="I6" s="847"/>
      <c r="J6" s="160"/>
      <c r="K6" s="150" t="s">
        <v>1</v>
      </c>
      <c r="L6" s="88"/>
    </row>
    <row r="7" spans="1:13" s="111" customFormat="1" ht="26.25" customHeight="1">
      <c r="A7" s="199"/>
      <c r="B7" s="198" t="s">
        <v>213</v>
      </c>
      <c r="C7" s="198" t="s">
        <v>216</v>
      </c>
      <c r="D7" s="198" t="s">
        <v>213</v>
      </c>
      <c r="E7" s="198" t="s">
        <v>216</v>
      </c>
      <c r="F7" s="198" t="s">
        <v>213</v>
      </c>
      <c r="G7" s="198" t="s">
        <v>216</v>
      </c>
      <c r="H7" s="198" t="s">
        <v>213</v>
      </c>
      <c r="I7" s="198" t="s">
        <v>216</v>
      </c>
      <c r="J7" s="198" t="s">
        <v>213</v>
      </c>
      <c r="K7" s="198" t="s">
        <v>216</v>
      </c>
      <c r="L7" s="199"/>
    </row>
    <row r="8" spans="1:13" s="182" customFormat="1" ht="15" customHeight="1" thickBot="1">
      <c r="A8" s="452" t="s">
        <v>51</v>
      </c>
      <c r="B8" s="453" t="s">
        <v>119</v>
      </c>
      <c r="C8" s="452" t="s">
        <v>28</v>
      </c>
      <c r="D8" s="453" t="s">
        <v>119</v>
      </c>
      <c r="E8" s="454" t="s">
        <v>28</v>
      </c>
      <c r="F8" s="453" t="s">
        <v>119</v>
      </c>
      <c r="G8" s="452" t="s">
        <v>28</v>
      </c>
      <c r="H8" s="453" t="s">
        <v>119</v>
      </c>
      <c r="I8" s="452" t="s">
        <v>28</v>
      </c>
      <c r="J8" s="452"/>
      <c r="K8" s="452" t="s">
        <v>28</v>
      </c>
      <c r="L8" s="452" t="s">
        <v>25</v>
      </c>
    </row>
    <row r="9" spans="1:13" s="240" customFormat="1" ht="15" customHeight="1" thickTop="1">
      <c r="A9" s="325" t="s">
        <v>329</v>
      </c>
      <c r="B9" s="47">
        <v>3682</v>
      </c>
      <c r="C9" s="47">
        <v>460004</v>
      </c>
      <c r="D9" s="47">
        <v>2600</v>
      </c>
      <c r="E9" s="47">
        <v>493649</v>
      </c>
      <c r="F9" s="47">
        <v>3656</v>
      </c>
      <c r="G9" s="47">
        <v>367977</v>
      </c>
      <c r="H9" s="47">
        <v>337</v>
      </c>
      <c r="I9" s="47">
        <v>45117</v>
      </c>
      <c r="J9" s="47">
        <f>B9+D9+F9+H9</f>
        <v>10275</v>
      </c>
      <c r="K9" s="47">
        <f>C9+E9+G9+I9</f>
        <v>1366747</v>
      </c>
      <c r="L9" s="326" t="s">
        <v>379</v>
      </c>
    </row>
    <row r="10" spans="1:13" s="167" customFormat="1" ht="15" customHeight="1">
      <c r="A10" s="235" t="s">
        <v>29</v>
      </c>
      <c r="B10" s="235">
        <v>5018</v>
      </c>
      <c r="C10" s="235">
        <v>638496</v>
      </c>
      <c r="D10" s="235">
        <v>4258</v>
      </c>
      <c r="E10" s="235">
        <v>699467</v>
      </c>
      <c r="F10" s="235">
        <v>4518</v>
      </c>
      <c r="G10" s="235">
        <v>455107</v>
      </c>
      <c r="H10" s="235">
        <v>1816</v>
      </c>
      <c r="I10" s="235">
        <v>218117</v>
      </c>
      <c r="J10" s="235">
        <f t="shared" ref="J10:J23" si="0">B10+D10+F10+H10</f>
        <v>15610</v>
      </c>
      <c r="K10" s="235">
        <f t="shared" ref="K10:K23" si="1">C10+E10+G10+I10</f>
        <v>2011187</v>
      </c>
      <c r="L10" s="417" t="s">
        <v>30</v>
      </c>
    </row>
    <row r="11" spans="1:13" s="167" customFormat="1" ht="15" customHeight="1">
      <c r="A11" s="325" t="s">
        <v>3</v>
      </c>
      <c r="B11" s="47">
        <v>10835</v>
      </c>
      <c r="C11" s="47">
        <v>1119864</v>
      </c>
      <c r="D11" s="47">
        <v>6945</v>
      </c>
      <c r="E11" s="47">
        <v>811996</v>
      </c>
      <c r="F11" s="47">
        <v>9200</v>
      </c>
      <c r="G11" s="47">
        <v>824777</v>
      </c>
      <c r="H11" s="47">
        <v>91</v>
      </c>
      <c r="I11" s="47">
        <v>9100</v>
      </c>
      <c r="J11" s="47">
        <f t="shared" si="0"/>
        <v>27071</v>
      </c>
      <c r="K11" s="47">
        <f t="shared" si="1"/>
        <v>2765737</v>
      </c>
      <c r="L11" s="326" t="s">
        <v>15</v>
      </c>
    </row>
    <row r="12" spans="1:13" s="167" customFormat="1" ht="15" customHeight="1">
      <c r="A12" s="235" t="s">
        <v>320</v>
      </c>
      <c r="B12" s="235">
        <v>6665</v>
      </c>
      <c r="C12" s="235">
        <v>675724</v>
      </c>
      <c r="D12" s="235">
        <v>7438</v>
      </c>
      <c r="E12" s="235">
        <v>699715</v>
      </c>
      <c r="F12" s="235">
        <v>7186</v>
      </c>
      <c r="G12" s="235">
        <v>645979</v>
      </c>
      <c r="H12" s="235">
        <v>1299</v>
      </c>
      <c r="I12" s="235">
        <v>116910</v>
      </c>
      <c r="J12" s="235">
        <f t="shared" si="0"/>
        <v>22588</v>
      </c>
      <c r="K12" s="235">
        <f t="shared" si="1"/>
        <v>2138328</v>
      </c>
      <c r="L12" s="417" t="s">
        <v>316</v>
      </c>
    </row>
    <row r="13" spans="1:13" s="167" customFormat="1" ht="15" customHeight="1">
      <c r="A13" s="325" t="s">
        <v>4</v>
      </c>
      <c r="B13" s="47">
        <v>49967</v>
      </c>
      <c r="C13" s="47">
        <v>6095974</v>
      </c>
      <c r="D13" s="47">
        <v>54699</v>
      </c>
      <c r="E13" s="47">
        <v>8751840</v>
      </c>
      <c r="F13" s="47">
        <v>28877</v>
      </c>
      <c r="G13" s="47">
        <v>2583782</v>
      </c>
      <c r="H13" s="47">
        <v>42744</v>
      </c>
      <c r="I13" s="47">
        <v>3419520</v>
      </c>
      <c r="J13" s="47">
        <f t="shared" si="0"/>
        <v>176287</v>
      </c>
      <c r="K13" s="47">
        <f t="shared" si="1"/>
        <v>20851116</v>
      </c>
      <c r="L13" s="326" t="s">
        <v>16</v>
      </c>
    </row>
    <row r="14" spans="1:13" s="167" customFormat="1" ht="15" customHeight="1">
      <c r="A14" s="235" t="s">
        <v>5</v>
      </c>
      <c r="B14" s="235">
        <v>7692</v>
      </c>
      <c r="C14" s="235">
        <v>887709</v>
      </c>
      <c r="D14" s="235">
        <v>6402</v>
      </c>
      <c r="E14" s="235">
        <v>959045</v>
      </c>
      <c r="F14" s="235">
        <v>6887</v>
      </c>
      <c r="G14" s="235">
        <v>578690</v>
      </c>
      <c r="H14" s="235">
        <v>1769</v>
      </c>
      <c r="I14" s="235">
        <v>212280</v>
      </c>
      <c r="J14" s="235">
        <f t="shared" si="0"/>
        <v>22750</v>
      </c>
      <c r="K14" s="235">
        <f t="shared" si="1"/>
        <v>2637724</v>
      </c>
      <c r="L14" s="417" t="s">
        <v>23</v>
      </c>
    </row>
    <row r="15" spans="1:13" s="167" customFormat="1" ht="15" customHeight="1">
      <c r="A15" s="325" t="s">
        <v>6</v>
      </c>
      <c r="B15" s="47">
        <v>7035</v>
      </c>
      <c r="C15" s="47">
        <v>778418</v>
      </c>
      <c r="D15" s="47">
        <v>9537</v>
      </c>
      <c r="E15" s="47">
        <v>1539438</v>
      </c>
      <c r="F15" s="47">
        <v>8891</v>
      </c>
      <c r="G15" s="47">
        <v>850719</v>
      </c>
      <c r="H15" s="47">
        <v>1093</v>
      </c>
      <c r="I15" s="47">
        <v>109300</v>
      </c>
      <c r="J15" s="47">
        <f t="shared" si="0"/>
        <v>26556</v>
      </c>
      <c r="K15" s="47">
        <f t="shared" si="1"/>
        <v>3277875</v>
      </c>
      <c r="L15" s="326" t="s">
        <v>380</v>
      </c>
    </row>
    <row r="16" spans="1:13" s="167" customFormat="1" ht="15" customHeight="1">
      <c r="A16" s="235" t="s">
        <v>11</v>
      </c>
      <c r="B16" s="235">
        <v>3906</v>
      </c>
      <c r="C16" s="235">
        <v>401225</v>
      </c>
      <c r="D16" s="235">
        <v>2863</v>
      </c>
      <c r="E16" s="235">
        <v>240823</v>
      </c>
      <c r="F16" s="235">
        <v>7618</v>
      </c>
      <c r="G16" s="235">
        <v>567891</v>
      </c>
      <c r="H16" s="235">
        <v>0</v>
      </c>
      <c r="I16" s="235">
        <v>0</v>
      </c>
      <c r="J16" s="235">
        <f t="shared" si="0"/>
        <v>14387</v>
      </c>
      <c r="K16" s="235">
        <f t="shared" si="1"/>
        <v>1209939</v>
      </c>
      <c r="L16" s="417" t="s">
        <v>21</v>
      </c>
    </row>
    <row r="17" spans="1:13" s="167" customFormat="1" ht="16.5" customHeight="1">
      <c r="A17" s="325" t="s">
        <v>2</v>
      </c>
      <c r="B17" s="47">
        <v>2273</v>
      </c>
      <c r="C17" s="47">
        <v>181840</v>
      </c>
      <c r="D17" s="47">
        <v>2249</v>
      </c>
      <c r="E17" s="47">
        <v>339599</v>
      </c>
      <c r="F17" s="47">
        <v>3463</v>
      </c>
      <c r="G17" s="47">
        <v>306766</v>
      </c>
      <c r="H17" s="47">
        <v>0</v>
      </c>
      <c r="I17" s="47">
        <v>0</v>
      </c>
      <c r="J17" s="47">
        <f t="shared" si="0"/>
        <v>7985</v>
      </c>
      <c r="K17" s="47">
        <f t="shared" si="1"/>
        <v>828205</v>
      </c>
      <c r="L17" s="326" t="s">
        <v>14</v>
      </c>
    </row>
    <row r="18" spans="1:13" s="167" customFormat="1" ht="15" customHeight="1">
      <c r="A18" s="235" t="s">
        <v>7</v>
      </c>
      <c r="B18" s="235">
        <v>12290</v>
      </c>
      <c r="C18" s="580">
        <v>1216710</v>
      </c>
      <c r="D18" s="235">
        <v>17035</v>
      </c>
      <c r="E18" s="235">
        <v>2180480</v>
      </c>
      <c r="F18" s="235">
        <v>12952</v>
      </c>
      <c r="G18" s="235">
        <v>1232806</v>
      </c>
      <c r="H18" s="235">
        <v>35</v>
      </c>
      <c r="I18" s="235">
        <v>3500</v>
      </c>
      <c r="J18" s="235">
        <f t="shared" si="0"/>
        <v>42312</v>
      </c>
      <c r="K18" s="235">
        <f t="shared" si="1"/>
        <v>4633496</v>
      </c>
      <c r="L18" s="417" t="s">
        <v>17</v>
      </c>
    </row>
    <row r="19" spans="1:13" s="167" customFormat="1" ht="15" customHeight="1">
      <c r="A19" s="325" t="s">
        <v>8</v>
      </c>
      <c r="B19" s="47">
        <v>6809</v>
      </c>
      <c r="C19" s="47">
        <v>603938</v>
      </c>
      <c r="D19" s="47">
        <v>4221</v>
      </c>
      <c r="E19" s="47">
        <v>620900</v>
      </c>
      <c r="F19" s="47">
        <v>7516</v>
      </c>
      <c r="G19" s="47">
        <v>681711</v>
      </c>
      <c r="H19" s="47">
        <v>0</v>
      </c>
      <c r="I19" s="47">
        <v>0</v>
      </c>
      <c r="J19" s="47">
        <f t="shared" si="0"/>
        <v>18546</v>
      </c>
      <c r="K19" s="47">
        <f t="shared" si="1"/>
        <v>1906549</v>
      </c>
      <c r="L19" s="326" t="s">
        <v>18</v>
      </c>
    </row>
    <row r="20" spans="1:13" s="167" customFormat="1" ht="15" customHeight="1">
      <c r="A20" s="235" t="s">
        <v>9</v>
      </c>
      <c r="B20" s="235">
        <v>6626</v>
      </c>
      <c r="C20" s="235">
        <v>541615</v>
      </c>
      <c r="D20" s="235">
        <v>4090</v>
      </c>
      <c r="E20" s="235">
        <v>635049</v>
      </c>
      <c r="F20" s="235">
        <v>4921</v>
      </c>
      <c r="G20" s="235">
        <v>379731</v>
      </c>
      <c r="H20" s="235">
        <v>0</v>
      </c>
      <c r="I20" s="235">
        <v>0</v>
      </c>
      <c r="J20" s="235">
        <f t="shared" si="0"/>
        <v>15637</v>
      </c>
      <c r="K20" s="235">
        <f t="shared" si="1"/>
        <v>1556395</v>
      </c>
      <c r="L20" s="417" t="s">
        <v>19</v>
      </c>
    </row>
    <row r="21" spans="1:13" s="167" customFormat="1" ht="15" customHeight="1">
      <c r="A21" s="325" t="s">
        <v>10</v>
      </c>
      <c r="B21" s="47">
        <v>5330</v>
      </c>
      <c r="C21" s="47">
        <v>492707</v>
      </c>
      <c r="D21" s="47">
        <v>1466</v>
      </c>
      <c r="E21" s="47">
        <v>115607</v>
      </c>
      <c r="F21" s="47">
        <v>4108</v>
      </c>
      <c r="G21" s="47">
        <v>330892</v>
      </c>
      <c r="H21" s="47">
        <v>949</v>
      </c>
      <c r="I21" s="47">
        <v>94900</v>
      </c>
      <c r="J21" s="47">
        <f t="shared" si="0"/>
        <v>11853</v>
      </c>
      <c r="K21" s="47">
        <f t="shared" si="1"/>
        <v>1034106</v>
      </c>
      <c r="L21" s="326" t="s">
        <v>20</v>
      </c>
      <c r="M21" s="246"/>
    </row>
    <row r="22" spans="1:13" s="167" customFormat="1" ht="15" customHeight="1">
      <c r="A22" s="235" t="s">
        <v>12</v>
      </c>
      <c r="B22" s="235">
        <v>2134</v>
      </c>
      <c r="C22" s="235">
        <v>207966</v>
      </c>
      <c r="D22" s="235">
        <v>3006</v>
      </c>
      <c r="E22" s="235">
        <v>364832</v>
      </c>
      <c r="F22" s="235">
        <v>2703</v>
      </c>
      <c r="G22" s="235">
        <v>262874</v>
      </c>
      <c r="H22" s="235">
        <v>850</v>
      </c>
      <c r="I22" s="235">
        <v>85000</v>
      </c>
      <c r="J22" s="235">
        <f t="shared" si="0"/>
        <v>8693</v>
      </c>
      <c r="K22" s="235">
        <f t="shared" si="1"/>
        <v>920672</v>
      </c>
      <c r="L22" s="417" t="s">
        <v>24</v>
      </c>
      <c r="M22" s="246"/>
    </row>
    <row r="23" spans="1:13" s="167" customFormat="1" ht="15" customHeight="1" thickBot="1">
      <c r="A23" s="325" t="s">
        <v>13</v>
      </c>
      <c r="B23" s="47">
        <v>8340</v>
      </c>
      <c r="C23" s="47">
        <v>1039388</v>
      </c>
      <c r="D23" s="47">
        <v>3593</v>
      </c>
      <c r="E23" s="47">
        <v>574880</v>
      </c>
      <c r="F23" s="47">
        <v>8861</v>
      </c>
      <c r="G23" s="47">
        <v>979676</v>
      </c>
      <c r="H23" s="47">
        <v>2671</v>
      </c>
      <c r="I23" s="47">
        <v>293810</v>
      </c>
      <c r="J23" s="47">
        <f t="shared" si="0"/>
        <v>23465</v>
      </c>
      <c r="K23" s="47">
        <f t="shared" si="1"/>
        <v>2887754</v>
      </c>
      <c r="L23" s="326" t="s">
        <v>22</v>
      </c>
      <c r="M23" s="246"/>
    </row>
    <row r="24" spans="1:13" s="240" customFormat="1" ht="20.25" customHeight="1" thickBot="1">
      <c r="A24" s="276" t="s">
        <v>0</v>
      </c>
      <c r="B24" s="277">
        <f>SUM(B9:B23)</f>
        <v>138602</v>
      </c>
      <c r="C24" s="277">
        <f t="shared" ref="C24:K24" si="2">SUM(C9:C23)</f>
        <v>15341578</v>
      </c>
      <c r="D24" s="277">
        <f t="shared" si="2"/>
        <v>130402</v>
      </c>
      <c r="E24" s="277">
        <f t="shared" si="2"/>
        <v>19027320</v>
      </c>
      <c r="F24" s="277">
        <f t="shared" si="2"/>
        <v>121357</v>
      </c>
      <c r="G24" s="277">
        <f t="shared" si="2"/>
        <v>11049378</v>
      </c>
      <c r="H24" s="277">
        <f t="shared" si="2"/>
        <v>53654</v>
      </c>
      <c r="I24" s="277">
        <f t="shared" si="2"/>
        <v>4607554</v>
      </c>
      <c r="J24" s="277">
        <f t="shared" si="2"/>
        <v>444015</v>
      </c>
      <c r="K24" s="277">
        <f t="shared" si="2"/>
        <v>50025830</v>
      </c>
      <c r="L24" s="278" t="s">
        <v>1</v>
      </c>
    </row>
    <row r="25" spans="1:13" s="4" customFormat="1" ht="17.25" customHeight="1">
      <c r="A25" s="609"/>
      <c r="B25" s="609"/>
      <c r="C25" s="609"/>
      <c r="D25" s="609"/>
      <c r="E25" s="609"/>
      <c r="F25" s="609"/>
      <c r="G25" s="609"/>
      <c r="H25" s="609"/>
      <c r="I25" s="610"/>
      <c r="J25" s="610"/>
      <c r="K25" s="129"/>
      <c r="L25" s="130"/>
    </row>
    <row r="26" spans="1:13" ht="14.25">
      <c r="A26" s="593"/>
      <c r="B26" s="593"/>
      <c r="C26" s="593"/>
      <c r="D26" s="593"/>
      <c r="E26" s="593"/>
      <c r="F26" s="593"/>
      <c r="G26" s="593"/>
      <c r="H26" s="607"/>
      <c r="I26" s="607"/>
      <c r="J26" s="607"/>
      <c r="K26" s="1"/>
      <c r="L26" s="128"/>
    </row>
    <row r="27" spans="1:13" ht="15">
      <c r="A27" s="912"/>
      <c r="B27" s="912"/>
      <c r="C27" s="593"/>
      <c r="D27" s="593"/>
      <c r="E27" s="593"/>
      <c r="F27" s="593"/>
      <c r="G27" s="593"/>
      <c r="H27" s="607"/>
      <c r="I27" s="607"/>
      <c r="J27" s="607"/>
      <c r="K27" s="918"/>
      <c r="L27" s="918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5">
    <mergeCell ref="K3:L3"/>
    <mergeCell ref="A27:B27"/>
    <mergeCell ref="K27:L27"/>
    <mergeCell ref="A1:L1"/>
    <mergeCell ref="K4:L4"/>
    <mergeCell ref="A4:B4"/>
    <mergeCell ref="A2:L2"/>
    <mergeCell ref="B6:C6"/>
    <mergeCell ref="F6:G6"/>
    <mergeCell ref="H6:I6"/>
    <mergeCell ref="H5:I5"/>
    <mergeCell ref="B5:C5"/>
    <mergeCell ref="D5:E5"/>
    <mergeCell ref="F5:G5"/>
    <mergeCell ref="D6:E6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K39"/>
  <sheetViews>
    <sheetView rightToLeft="1" zoomScaleNormal="100" zoomScaleSheetLayoutView="96" workbookViewId="0">
      <selection activeCell="A4" sqref="A4:B4"/>
    </sheetView>
  </sheetViews>
  <sheetFormatPr defaultRowHeight="12.75"/>
  <cols>
    <col min="1" max="1" width="13.85546875" customWidth="1"/>
    <col min="2" max="2" width="13.7109375" customWidth="1"/>
    <col min="3" max="3" width="15.28515625" customWidth="1"/>
    <col min="4" max="4" width="12.28515625" customWidth="1"/>
    <col min="5" max="5" width="16.7109375" customWidth="1"/>
    <col min="6" max="6" width="13.5703125" style="4" customWidth="1"/>
    <col min="7" max="7" width="14.140625" customWidth="1"/>
    <col min="8" max="8" width="16.5703125" customWidth="1"/>
  </cols>
  <sheetData>
    <row r="1" spans="1:8" ht="24" customHeight="1">
      <c r="A1" s="924" t="s">
        <v>466</v>
      </c>
      <c r="B1" s="924"/>
      <c r="C1" s="924"/>
      <c r="D1" s="924"/>
      <c r="E1" s="924"/>
      <c r="F1" s="924"/>
      <c r="G1" s="924"/>
      <c r="H1" s="924"/>
    </row>
    <row r="2" spans="1:8" ht="15">
      <c r="A2" s="925" t="s">
        <v>385</v>
      </c>
      <c r="B2" s="925"/>
      <c r="C2" s="925"/>
      <c r="D2" s="925"/>
      <c r="E2" s="925"/>
      <c r="F2" s="925"/>
      <c r="G2" s="925"/>
      <c r="H2" s="925"/>
    </row>
    <row r="3" spans="1:8" s="4" customFormat="1" ht="15">
      <c r="A3" s="140"/>
      <c r="B3" s="140"/>
      <c r="C3" s="140"/>
      <c r="D3" s="140"/>
      <c r="E3" s="140"/>
      <c r="F3" s="163"/>
      <c r="G3" s="899" t="s">
        <v>194</v>
      </c>
      <c r="H3" s="899"/>
    </row>
    <row r="4" spans="1:8" ht="15.75" customHeight="1" thickBot="1">
      <c r="A4" s="866" t="s">
        <v>456</v>
      </c>
      <c r="B4" s="866"/>
      <c r="C4" s="836" t="s">
        <v>469</v>
      </c>
      <c r="D4" s="16"/>
      <c r="E4" s="464"/>
      <c r="F4" s="464"/>
      <c r="G4" s="465" t="s">
        <v>303</v>
      </c>
      <c r="H4" s="466" t="s">
        <v>459</v>
      </c>
    </row>
    <row r="5" spans="1:8" ht="15.75" customHeight="1">
      <c r="A5" s="462"/>
      <c r="B5" s="927" t="s">
        <v>36</v>
      </c>
      <c r="C5" s="927"/>
      <c r="D5" s="927" t="s">
        <v>37</v>
      </c>
      <c r="E5" s="927"/>
      <c r="F5" s="927" t="s">
        <v>0</v>
      </c>
      <c r="G5" s="927"/>
      <c r="H5" s="463"/>
    </row>
    <row r="6" spans="1:8" s="111" customFormat="1" ht="15" customHeight="1">
      <c r="A6" s="364"/>
      <c r="B6" s="926" t="s">
        <v>153</v>
      </c>
      <c r="C6" s="926"/>
      <c r="D6" s="926" t="s">
        <v>150</v>
      </c>
      <c r="E6" s="926"/>
      <c r="F6" s="926" t="s">
        <v>1</v>
      </c>
      <c r="G6" s="926"/>
      <c r="H6" s="364"/>
    </row>
    <row r="7" spans="1:8" s="111" customFormat="1" ht="15" customHeight="1">
      <c r="A7" s="200"/>
      <c r="B7" s="364" t="s">
        <v>213</v>
      </c>
      <c r="C7" s="364" t="s">
        <v>216</v>
      </c>
      <c r="D7" s="364" t="s">
        <v>213</v>
      </c>
      <c r="E7" s="364" t="s">
        <v>216</v>
      </c>
      <c r="F7" s="364" t="s">
        <v>213</v>
      </c>
      <c r="G7" s="364" t="s">
        <v>216</v>
      </c>
      <c r="H7" s="200"/>
    </row>
    <row r="8" spans="1:8" s="455" customFormat="1" ht="15" customHeight="1" thickBot="1">
      <c r="A8" s="458" t="s">
        <v>49</v>
      </c>
      <c r="B8" s="458" t="s">
        <v>119</v>
      </c>
      <c r="C8" s="459" t="s">
        <v>28</v>
      </c>
      <c r="D8" s="458" t="s">
        <v>119</v>
      </c>
      <c r="E8" s="457" t="s">
        <v>28</v>
      </c>
      <c r="F8" s="458" t="s">
        <v>119</v>
      </c>
      <c r="G8" s="457" t="s">
        <v>28</v>
      </c>
      <c r="H8" s="457" t="s">
        <v>25</v>
      </c>
    </row>
    <row r="9" spans="1:8" s="240" customFormat="1" ht="15" customHeight="1" thickTop="1">
      <c r="A9" s="327" t="s">
        <v>329</v>
      </c>
      <c r="B9" s="513">
        <v>6983</v>
      </c>
      <c r="C9" s="513">
        <v>510438</v>
      </c>
      <c r="D9" s="513">
        <v>1581</v>
      </c>
      <c r="E9" s="513">
        <v>154658</v>
      </c>
      <c r="F9" s="513">
        <f>B9+D9</f>
        <v>8564</v>
      </c>
      <c r="G9" s="513">
        <f>C9+E9</f>
        <v>665096</v>
      </c>
      <c r="H9" s="328" t="s">
        <v>379</v>
      </c>
    </row>
    <row r="10" spans="1:8" s="167" customFormat="1" ht="15" customHeight="1">
      <c r="A10" s="280" t="s">
        <v>29</v>
      </c>
      <c r="B10" s="467">
        <v>12328</v>
      </c>
      <c r="C10" s="468">
        <v>850631</v>
      </c>
      <c r="D10" s="467">
        <v>3525</v>
      </c>
      <c r="E10" s="468">
        <v>333074</v>
      </c>
      <c r="F10" s="468">
        <f t="shared" ref="F10:F23" si="0">B10+D10</f>
        <v>15853</v>
      </c>
      <c r="G10" s="468">
        <f t="shared" ref="G10:G23" si="1">C10+E10</f>
        <v>1183705</v>
      </c>
      <c r="H10" s="456" t="s">
        <v>30</v>
      </c>
    </row>
    <row r="11" spans="1:8" s="167" customFormat="1" ht="15" customHeight="1">
      <c r="A11" s="327" t="s">
        <v>3</v>
      </c>
      <c r="B11" s="513">
        <v>19933</v>
      </c>
      <c r="C11" s="513">
        <v>1129871</v>
      </c>
      <c r="D11" s="513">
        <v>1159</v>
      </c>
      <c r="E11" s="513">
        <v>115900</v>
      </c>
      <c r="F11" s="513">
        <f t="shared" si="0"/>
        <v>21092</v>
      </c>
      <c r="G11" s="513">
        <f t="shared" si="1"/>
        <v>1245771</v>
      </c>
      <c r="H11" s="328" t="s">
        <v>15</v>
      </c>
    </row>
    <row r="12" spans="1:8" s="167" customFormat="1" ht="15" customHeight="1">
      <c r="A12" s="280" t="s">
        <v>320</v>
      </c>
      <c r="B12" s="467">
        <v>14976</v>
      </c>
      <c r="C12" s="468">
        <v>1242943</v>
      </c>
      <c r="D12" s="467">
        <v>2912</v>
      </c>
      <c r="E12" s="468">
        <v>276640</v>
      </c>
      <c r="F12" s="468">
        <f t="shared" si="0"/>
        <v>17888</v>
      </c>
      <c r="G12" s="468">
        <f t="shared" si="1"/>
        <v>1519583</v>
      </c>
      <c r="H12" s="456" t="s">
        <v>316</v>
      </c>
    </row>
    <row r="13" spans="1:8" s="167" customFormat="1" ht="15" customHeight="1">
      <c r="A13" s="327" t="s">
        <v>4</v>
      </c>
      <c r="B13" s="513">
        <v>86155</v>
      </c>
      <c r="C13" s="513">
        <v>6461625</v>
      </c>
      <c r="D13" s="513">
        <v>72960</v>
      </c>
      <c r="E13" s="513">
        <v>6201600</v>
      </c>
      <c r="F13" s="513">
        <f t="shared" si="0"/>
        <v>159115</v>
      </c>
      <c r="G13" s="513">
        <f t="shared" si="1"/>
        <v>12663225</v>
      </c>
      <c r="H13" s="328" t="s">
        <v>16</v>
      </c>
    </row>
    <row r="14" spans="1:8" s="167" customFormat="1" ht="15" customHeight="1">
      <c r="A14" s="281" t="s">
        <v>5</v>
      </c>
      <c r="B14" s="467">
        <v>18707</v>
      </c>
      <c r="C14" s="468">
        <v>1443552</v>
      </c>
      <c r="D14" s="467">
        <v>10940</v>
      </c>
      <c r="E14" s="468">
        <v>1772280</v>
      </c>
      <c r="F14" s="468">
        <f t="shared" si="0"/>
        <v>29647</v>
      </c>
      <c r="G14" s="468">
        <f t="shared" si="1"/>
        <v>3215832</v>
      </c>
      <c r="H14" s="282" t="s">
        <v>23</v>
      </c>
    </row>
    <row r="15" spans="1:8" s="167" customFormat="1" ht="15" customHeight="1">
      <c r="A15" s="327" t="s">
        <v>6</v>
      </c>
      <c r="B15" s="513">
        <v>21073</v>
      </c>
      <c r="C15" s="513">
        <v>1545763</v>
      </c>
      <c r="D15" s="513">
        <v>3923</v>
      </c>
      <c r="E15" s="513">
        <v>391787</v>
      </c>
      <c r="F15" s="513">
        <f t="shared" si="0"/>
        <v>24996</v>
      </c>
      <c r="G15" s="513">
        <f t="shared" si="1"/>
        <v>1937550</v>
      </c>
      <c r="H15" s="328" t="s">
        <v>380</v>
      </c>
    </row>
    <row r="16" spans="1:8" s="167" customFormat="1" ht="15" customHeight="1">
      <c r="A16" s="281" t="s">
        <v>11</v>
      </c>
      <c r="B16" s="467">
        <v>19648</v>
      </c>
      <c r="C16" s="468">
        <v>1581158</v>
      </c>
      <c r="D16" s="467">
        <v>3416</v>
      </c>
      <c r="E16" s="468">
        <v>204960</v>
      </c>
      <c r="F16" s="468">
        <f t="shared" si="0"/>
        <v>23064</v>
      </c>
      <c r="G16" s="468">
        <f t="shared" si="1"/>
        <v>1786118</v>
      </c>
      <c r="H16" s="282" t="s">
        <v>21</v>
      </c>
    </row>
    <row r="17" spans="1:11" s="167" customFormat="1" ht="15" customHeight="1">
      <c r="A17" s="327" t="s">
        <v>2</v>
      </c>
      <c r="B17" s="513">
        <v>6715</v>
      </c>
      <c r="C17" s="513">
        <v>514842</v>
      </c>
      <c r="D17" s="513">
        <v>936</v>
      </c>
      <c r="E17" s="513">
        <v>83304</v>
      </c>
      <c r="F17" s="513">
        <f t="shared" si="0"/>
        <v>7651</v>
      </c>
      <c r="G17" s="513">
        <f t="shared" si="1"/>
        <v>598146</v>
      </c>
      <c r="H17" s="328" t="s">
        <v>14</v>
      </c>
    </row>
    <row r="18" spans="1:11" s="167" customFormat="1" ht="15" customHeight="1">
      <c r="A18" s="281" t="s">
        <v>7</v>
      </c>
      <c r="B18" s="467">
        <v>38472</v>
      </c>
      <c r="C18" s="787">
        <v>2764296</v>
      </c>
      <c r="D18" s="467">
        <v>8025</v>
      </c>
      <c r="E18" s="468">
        <v>682125</v>
      </c>
      <c r="F18" s="468">
        <f t="shared" si="0"/>
        <v>46497</v>
      </c>
      <c r="G18" s="468">
        <f t="shared" si="1"/>
        <v>3446421</v>
      </c>
      <c r="H18" s="282" t="s">
        <v>17</v>
      </c>
    </row>
    <row r="19" spans="1:11" s="167" customFormat="1" ht="14.25" customHeight="1">
      <c r="A19" s="327" t="s">
        <v>8</v>
      </c>
      <c r="B19" s="513">
        <v>22711</v>
      </c>
      <c r="C19" s="513">
        <v>1638768</v>
      </c>
      <c r="D19" s="513">
        <v>0</v>
      </c>
      <c r="E19" s="513">
        <v>0</v>
      </c>
      <c r="F19" s="513">
        <f t="shared" si="0"/>
        <v>22711</v>
      </c>
      <c r="G19" s="513">
        <f t="shared" si="1"/>
        <v>1638768</v>
      </c>
      <c r="H19" s="328" t="s">
        <v>18</v>
      </c>
    </row>
    <row r="20" spans="1:11" s="167" customFormat="1" ht="16.5" customHeight="1">
      <c r="A20" s="281" t="s">
        <v>9</v>
      </c>
      <c r="B20" s="467">
        <v>15318</v>
      </c>
      <c r="C20" s="468">
        <v>1055733</v>
      </c>
      <c r="D20" s="467">
        <v>0</v>
      </c>
      <c r="E20" s="468">
        <v>0</v>
      </c>
      <c r="F20" s="468">
        <f t="shared" si="0"/>
        <v>15318</v>
      </c>
      <c r="G20" s="468">
        <f t="shared" si="1"/>
        <v>1055733</v>
      </c>
      <c r="H20" s="282" t="s">
        <v>19</v>
      </c>
    </row>
    <row r="21" spans="1:11" s="167" customFormat="1" ht="16.5" customHeight="1">
      <c r="A21" s="327" t="s">
        <v>10</v>
      </c>
      <c r="B21" s="513">
        <v>15048</v>
      </c>
      <c r="C21" s="513">
        <v>1220111</v>
      </c>
      <c r="D21" s="513">
        <v>4113</v>
      </c>
      <c r="E21" s="513">
        <v>246780</v>
      </c>
      <c r="F21" s="513">
        <f t="shared" si="0"/>
        <v>19161</v>
      </c>
      <c r="G21" s="513">
        <f t="shared" si="1"/>
        <v>1466891</v>
      </c>
      <c r="H21" s="328" t="s">
        <v>20</v>
      </c>
    </row>
    <row r="22" spans="1:11" s="167" customFormat="1" ht="15" customHeight="1">
      <c r="A22" s="281" t="s">
        <v>12</v>
      </c>
      <c r="B22" s="467">
        <v>3598</v>
      </c>
      <c r="C22" s="468">
        <v>269426</v>
      </c>
      <c r="D22" s="467">
        <v>2152</v>
      </c>
      <c r="E22" s="468">
        <v>258240</v>
      </c>
      <c r="F22" s="468">
        <f t="shared" si="0"/>
        <v>5750</v>
      </c>
      <c r="G22" s="468">
        <f t="shared" si="1"/>
        <v>527666</v>
      </c>
      <c r="H22" s="282" t="s">
        <v>24</v>
      </c>
    </row>
    <row r="23" spans="1:11" s="167" customFormat="1" ht="15" customHeight="1" thickBot="1">
      <c r="A23" s="460" t="s">
        <v>13</v>
      </c>
      <c r="B23" s="513">
        <v>36526</v>
      </c>
      <c r="C23" s="513">
        <v>3022228</v>
      </c>
      <c r="D23" s="513">
        <v>8615</v>
      </c>
      <c r="E23" s="513">
        <v>990725</v>
      </c>
      <c r="F23" s="513">
        <f t="shared" si="0"/>
        <v>45141</v>
      </c>
      <c r="G23" s="513">
        <f t="shared" si="1"/>
        <v>4012953</v>
      </c>
      <c r="H23" s="461" t="s">
        <v>22</v>
      </c>
    </row>
    <row r="24" spans="1:11" s="240" customFormat="1" ht="20.25" customHeight="1" thickBot="1">
      <c r="A24" s="276" t="s">
        <v>0</v>
      </c>
      <c r="B24" s="277">
        <f>SUM(B9:B23)</f>
        <v>338191</v>
      </c>
      <c r="C24" s="277">
        <f t="shared" ref="C24:G24" si="2">SUM(C9:C23)</f>
        <v>25251385</v>
      </c>
      <c r="D24" s="277">
        <f t="shared" si="2"/>
        <v>124257</v>
      </c>
      <c r="E24" s="277">
        <f t="shared" si="2"/>
        <v>11712073</v>
      </c>
      <c r="F24" s="277">
        <f t="shared" si="2"/>
        <v>462448</v>
      </c>
      <c r="G24" s="277">
        <f t="shared" si="2"/>
        <v>36963458</v>
      </c>
      <c r="H24" s="561" t="s">
        <v>1</v>
      </c>
    </row>
    <row r="25" spans="1:11" s="4" customFormat="1" ht="20.25" customHeight="1">
      <c r="A25" s="891"/>
      <c r="B25" s="891"/>
      <c r="C25" s="891"/>
      <c r="D25" s="891"/>
      <c r="E25" s="891"/>
      <c r="F25" s="891"/>
      <c r="G25" s="891"/>
      <c r="H25" s="608"/>
      <c r="I25" s="593"/>
      <c r="J25" s="593"/>
    </row>
    <row r="26" spans="1:11" ht="14.25">
      <c r="A26" s="593"/>
      <c r="B26" s="593"/>
      <c r="C26" s="593"/>
      <c r="D26" s="593"/>
      <c r="E26" s="593"/>
      <c r="F26" s="593"/>
      <c r="G26" s="607"/>
      <c r="H26" s="596"/>
      <c r="I26" s="607"/>
      <c r="J26" s="593"/>
    </row>
    <row r="27" spans="1:11" ht="15" customHeight="1">
      <c r="A27" s="593"/>
      <c r="B27" s="593"/>
      <c r="C27" s="593"/>
      <c r="D27" s="593"/>
      <c r="E27" s="593"/>
      <c r="F27" s="593"/>
      <c r="G27" s="593"/>
      <c r="H27" s="593"/>
      <c r="I27" s="593"/>
      <c r="J27" s="593"/>
      <c r="K27" s="4"/>
    </row>
    <row r="28" spans="1:11">
      <c r="A28" s="4"/>
      <c r="B28" s="4"/>
      <c r="C28" s="4"/>
      <c r="D28" s="4"/>
      <c r="E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G39" s="4"/>
      <c r="H39" s="4"/>
      <c r="I39" s="4"/>
      <c r="J39" s="4"/>
      <c r="K39" s="4"/>
    </row>
  </sheetData>
  <mergeCells count="11">
    <mergeCell ref="G3:H3"/>
    <mergeCell ref="A1:H1"/>
    <mergeCell ref="A2:H2"/>
    <mergeCell ref="A25:G25"/>
    <mergeCell ref="D6:E6"/>
    <mergeCell ref="D5:E5"/>
    <mergeCell ref="B5:C5"/>
    <mergeCell ref="B6:C6"/>
    <mergeCell ref="F5:G5"/>
    <mergeCell ref="F6:G6"/>
    <mergeCell ref="A4:B4"/>
  </mergeCells>
  <phoneticPr fontId="3" type="noConversion"/>
  <printOptions horizontalCentered="1" verticalCentered="1"/>
  <pageMargins left="0.23622047244094491" right="0.25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M27"/>
  <sheetViews>
    <sheetView rightToLeft="1" zoomScaleNormal="100" zoomScaleSheetLayoutView="106" workbookViewId="0">
      <selection activeCell="A4" sqref="A4:B4"/>
    </sheetView>
  </sheetViews>
  <sheetFormatPr defaultRowHeight="12.75"/>
  <cols>
    <col min="1" max="1" width="9.7109375" customWidth="1"/>
    <col min="2" max="2" width="11.85546875" customWidth="1"/>
    <col min="3" max="3" width="12.42578125" customWidth="1"/>
    <col min="4" max="4" width="11.28515625" customWidth="1"/>
    <col min="5" max="5" width="10.85546875" customWidth="1"/>
    <col min="6" max="6" width="10.5703125" customWidth="1"/>
    <col min="7" max="7" width="11.85546875" customWidth="1"/>
    <col min="8" max="8" width="10.7109375" customWidth="1"/>
    <col min="9" max="9" width="11" customWidth="1"/>
    <col min="10" max="10" width="16.42578125" customWidth="1"/>
  </cols>
  <sheetData>
    <row r="1" spans="1:13" ht="15">
      <c r="A1" s="932" t="s">
        <v>466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3" ht="15">
      <c r="A2" s="931" t="s">
        <v>388</v>
      </c>
      <c r="B2" s="931"/>
      <c r="C2" s="931"/>
      <c r="D2" s="931"/>
      <c r="E2" s="931"/>
      <c r="F2" s="931"/>
      <c r="G2" s="931"/>
      <c r="H2" s="931"/>
      <c r="I2" s="931"/>
      <c r="J2" s="931"/>
    </row>
    <row r="3" spans="1:13" s="4" customFormat="1" ht="15">
      <c r="A3" s="141"/>
      <c r="B3" s="141"/>
      <c r="C3" s="141"/>
      <c r="D3" s="141"/>
      <c r="E3" s="141"/>
      <c r="F3" s="141"/>
      <c r="G3" s="141"/>
      <c r="H3" s="141"/>
      <c r="I3" s="899" t="s">
        <v>194</v>
      </c>
      <c r="J3" s="899"/>
    </row>
    <row r="4" spans="1:13" ht="14.25" customHeight="1" thickBot="1">
      <c r="A4" s="866" t="s">
        <v>456</v>
      </c>
      <c r="B4" s="866"/>
      <c r="C4" s="928" t="s">
        <v>470</v>
      </c>
      <c r="D4" s="928"/>
      <c r="E4" s="90"/>
      <c r="F4" s="16"/>
      <c r="G4" s="91"/>
      <c r="H4" s="929" t="s">
        <v>304</v>
      </c>
      <c r="I4" s="929"/>
      <c r="J4" s="92" t="s">
        <v>461</v>
      </c>
    </row>
    <row r="5" spans="1:13" ht="15" customHeight="1">
      <c r="A5" s="6"/>
      <c r="B5" s="930" t="s">
        <v>327</v>
      </c>
      <c r="C5" s="930"/>
      <c r="D5" s="930" t="s">
        <v>220</v>
      </c>
      <c r="E5" s="930"/>
      <c r="F5" s="930" t="s">
        <v>45</v>
      </c>
      <c r="G5" s="930"/>
      <c r="H5" s="930" t="s">
        <v>46</v>
      </c>
      <c r="I5" s="930"/>
      <c r="J5" s="93"/>
    </row>
    <row r="6" spans="1:13" ht="15" customHeight="1">
      <c r="A6" s="94"/>
      <c r="B6" s="931" t="s">
        <v>267</v>
      </c>
      <c r="C6" s="931"/>
      <c r="D6" s="931" t="s">
        <v>151</v>
      </c>
      <c r="E6" s="931"/>
      <c r="F6" s="847" t="s">
        <v>268</v>
      </c>
      <c r="G6" s="847"/>
      <c r="H6" s="931" t="s">
        <v>269</v>
      </c>
      <c r="I6" s="931"/>
      <c r="J6" s="94"/>
    </row>
    <row r="7" spans="1:13" ht="15" customHeight="1">
      <c r="A7" s="94"/>
      <c r="B7" s="201" t="s">
        <v>39</v>
      </c>
      <c r="C7" s="201" t="s">
        <v>216</v>
      </c>
      <c r="D7" s="201" t="s">
        <v>39</v>
      </c>
      <c r="E7" s="201" t="s">
        <v>216</v>
      </c>
      <c r="F7" s="201" t="s">
        <v>26</v>
      </c>
      <c r="G7" s="201" t="s">
        <v>216</v>
      </c>
      <c r="H7" s="202" t="s">
        <v>26</v>
      </c>
      <c r="I7" s="202" t="s">
        <v>216</v>
      </c>
      <c r="J7" s="203"/>
    </row>
    <row r="8" spans="1:13" ht="15.75" customHeight="1" thickBot="1">
      <c r="A8" s="469" t="s">
        <v>128</v>
      </c>
      <c r="B8" s="470" t="s">
        <v>40</v>
      </c>
      <c r="C8" s="471" t="s">
        <v>28</v>
      </c>
      <c r="D8" s="471" t="s">
        <v>40</v>
      </c>
      <c r="E8" s="471" t="s">
        <v>28</v>
      </c>
      <c r="F8" s="471" t="s">
        <v>120</v>
      </c>
      <c r="G8" s="471" t="s">
        <v>28</v>
      </c>
      <c r="H8" s="472" t="s">
        <v>120</v>
      </c>
      <c r="I8" s="472" t="s">
        <v>28</v>
      </c>
      <c r="J8" s="473" t="s">
        <v>25</v>
      </c>
      <c r="K8" s="4"/>
      <c r="L8" s="4"/>
      <c r="M8" s="4"/>
    </row>
    <row r="9" spans="1:13" s="167" customFormat="1" ht="15" customHeight="1" thickTop="1">
      <c r="A9" s="283" t="s">
        <v>329</v>
      </c>
      <c r="B9" s="284">
        <v>89363</v>
      </c>
      <c r="C9" s="284">
        <v>159782</v>
      </c>
      <c r="D9" s="284">
        <v>366</v>
      </c>
      <c r="E9" s="284">
        <f>D9*2</f>
        <v>732</v>
      </c>
      <c r="F9" s="284">
        <v>9989</v>
      </c>
      <c r="G9" s="284">
        <v>729197</v>
      </c>
      <c r="H9" s="284">
        <v>5191</v>
      </c>
      <c r="I9" s="284">
        <f>H9*5</f>
        <v>25955</v>
      </c>
      <c r="J9" s="285" t="s">
        <v>379</v>
      </c>
    </row>
    <row r="10" spans="1:13" s="167" customFormat="1" ht="15" customHeight="1">
      <c r="A10" s="329" t="s">
        <v>29</v>
      </c>
      <c r="B10" s="330">
        <v>278188</v>
      </c>
      <c r="C10" s="330">
        <v>556376</v>
      </c>
      <c r="D10" s="330">
        <v>662</v>
      </c>
      <c r="E10" s="330">
        <f t="shared" ref="E10:E23" si="0">D10*2</f>
        <v>1324</v>
      </c>
      <c r="F10" s="330">
        <v>22731</v>
      </c>
      <c r="G10" s="330">
        <v>1704825</v>
      </c>
      <c r="H10" s="330">
        <v>12236</v>
      </c>
      <c r="I10" s="330">
        <f>H10*4</f>
        <v>48944</v>
      </c>
      <c r="J10" s="331" t="s">
        <v>30</v>
      </c>
    </row>
    <row r="11" spans="1:13" s="167" customFormat="1" ht="15" customHeight="1">
      <c r="A11" s="286" t="s">
        <v>3</v>
      </c>
      <c r="B11" s="284">
        <v>237851</v>
      </c>
      <c r="C11" s="284">
        <v>475702</v>
      </c>
      <c r="D11" s="284">
        <v>710</v>
      </c>
      <c r="E11" s="284">
        <f t="shared" si="0"/>
        <v>1420</v>
      </c>
      <c r="F11" s="284">
        <v>21172</v>
      </c>
      <c r="G11" s="284">
        <v>1587900</v>
      </c>
      <c r="H11" s="284">
        <v>11032</v>
      </c>
      <c r="I11" s="284">
        <f t="shared" ref="I11:I20" si="1">H11*5</f>
        <v>55160</v>
      </c>
      <c r="J11" s="287" t="s">
        <v>15</v>
      </c>
    </row>
    <row r="12" spans="1:13" s="167" customFormat="1" ht="15" customHeight="1">
      <c r="A12" s="329" t="s">
        <v>320</v>
      </c>
      <c r="B12" s="330">
        <v>140986</v>
      </c>
      <c r="C12" s="330">
        <v>281972</v>
      </c>
      <c r="D12" s="330">
        <v>416</v>
      </c>
      <c r="E12" s="330">
        <f t="shared" si="0"/>
        <v>832</v>
      </c>
      <c r="F12" s="330">
        <v>9184</v>
      </c>
      <c r="G12" s="330">
        <v>734720</v>
      </c>
      <c r="H12" s="330">
        <v>3422</v>
      </c>
      <c r="I12" s="330">
        <f t="shared" si="1"/>
        <v>17110</v>
      </c>
      <c r="J12" s="331" t="s">
        <v>316</v>
      </c>
    </row>
    <row r="13" spans="1:13" s="167" customFormat="1" ht="15" customHeight="1">
      <c r="A13" s="286" t="s">
        <v>4</v>
      </c>
      <c r="B13" s="284">
        <v>652882</v>
      </c>
      <c r="C13" s="284">
        <v>979323</v>
      </c>
      <c r="D13" s="284">
        <v>10158</v>
      </c>
      <c r="E13" s="284">
        <f>D13*1.5</f>
        <v>15237</v>
      </c>
      <c r="F13" s="284">
        <v>103764</v>
      </c>
      <c r="G13" s="284">
        <v>6018312</v>
      </c>
      <c r="H13" s="284">
        <v>120886</v>
      </c>
      <c r="I13" s="284">
        <f>H13*3</f>
        <v>362658</v>
      </c>
      <c r="J13" s="287" t="s">
        <v>16</v>
      </c>
    </row>
    <row r="14" spans="1:13" s="167" customFormat="1" ht="15" customHeight="1">
      <c r="A14" s="332" t="s">
        <v>5</v>
      </c>
      <c r="B14" s="330">
        <v>329837</v>
      </c>
      <c r="C14" s="330">
        <v>671684</v>
      </c>
      <c r="D14" s="330">
        <v>1002</v>
      </c>
      <c r="E14" s="330">
        <f>D14*1</f>
        <v>1002</v>
      </c>
      <c r="F14" s="330">
        <v>32572</v>
      </c>
      <c r="G14" s="330">
        <v>1628600</v>
      </c>
      <c r="H14" s="330">
        <v>18966</v>
      </c>
      <c r="I14" s="330">
        <f t="shared" si="1"/>
        <v>94830</v>
      </c>
      <c r="J14" s="333" t="s">
        <v>23</v>
      </c>
    </row>
    <row r="15" spans="1:13" s="167" customFormat="1" ht="15" customHeight="1">
      <c r="A15" s="286" t="s">
        <v>6</v>
      </c>
      <c r="B15" s="284">
        <v>223642</v>
      </c>
      <c r="C15" s="284">
        <v>415984</v>
      </c>
      <c r="D15" s="284">
        <v>7449</v>
      </c>
      <c r="E15" s="284">
        <f t="shared" si="0"/>
        <v>14898</v>
      </c>
      <c r="F15" s="284">
        <v>0</v>
      </c>
      <c r="G15" s="284">
        <v>0</v>
      </c>
      <c r="H15" s="284">
        <v>19115</v>
      </c>
      <c r="I15" s="284">
        <f t="shared" si="1"/>
        <v>95575</v>
      </c>
      <c r="J15" s="287" t="s">
        <v>380</v>
      </c>
    </row>
    <row r="16" spans="1:13" s="167" customFormat="1" ht="15" customHeight="1">
      <c r="A16" s="332" t="s">
        <v>11</v>
      </c>
      <c r="B16" s="330">
        <v>291644</v>
      </c>
      <c r="C16" s="330">
        <v>437466</v>
      </c>
      <c r="D16" s="330">
        <v>3121</v>
      </c>
      <c r="E16" s="330">
        <f>D16*1</f>
        <v>3121</v>
      </c>
      <c r="F16" s="330">
        <v>23220</v>
      </c>
      <c r="G16" s="330">
        <v>812700</v>
      </c>
      <c r="H16" s="330">
        <v>13045</v>
      </c>
      <c r="I16" s="330">
        <f t="shared" si="1"/>
        <v>65225</v>
      </c>
      <c r="J16" s="333" t="s">
        <v>21</v>
      </c>
    </row>
    <row r="17" spans="1:10" s="167" customFormat="1" ht="15" customHeight="1">
      <c r="A17" s="286" t="s">
        <v>2</v>
      </c>
      <c r="B17" s="284">
        <v>121358</v>
      </c>
      <c r="C17" s="284">
        <v>258353</v>
      </c>
      <c r="D17" s="284">
        <v>717</v>
      </c>
      <c r="E17" s="284">
        <f t="shared" si="0"/>
        <v>1434</v>
      </c>
      <c r="F17" s="284">
        <v>6120</v>
      </c>
      <c r="G17" s="284">
        <v>336600</v>
      </c>
      <c r="H17" s="284">
        <v>3514</v>
      </c>
      <c r="I17" s="284">
        <f t="shared" si="1"/>
        <v>17570</v>
      </c>
      <c r="J17" s="287" t="s">
        <v>14</v>
      </c>
    </row>
    <row r="18" spans="1:10" s="167" customFormat="1" ht="15" customHeight="1">
      <c r="A18" s="332" t="s">
        <v>7</v>
      </c>
      <c r="B18" s="330">
        <v>156878</v>
      </c>
      <c r="C18" s="786">
        <v>251005</v>
      </c>
      <c r="D18" s="330">
        <v>1300</v>
      </c>
      <c r="E18" s="330">
        <f t="shared" si="0"/>
        <v>2600</v>
      </c>
      <c r="F18" s="330">
        <v>60282</v>
      </c>
      <c r="G18" s="330">
        <v>3496356</v>
      </c>
      <c r="H18" s="330">
        <v>28862</v>
      </c>
      <c r="I18" s="330">
        <f>H18*3</f>
        <v>86586</v>
      </c>
      <c r="J18" s="333" t="s">
        <v>17</v>
      </c>
    </row>
    <row r="19" spans="1:10" s="167" customFormat="1" ht="15" customHeight="1">
      <c r="A19" s="286" t="s">
        <v>8</v>
      </c>
      <c r="B19" s="284">
        <v>355225</v>
      </c>
      <c r="C19" s="284">
        <v>729012</v>
      </c>
      <c r="D19" s="284">
        <v>1589</v>
      </c>
      <c r="E19" s="284">
        <f t="shared" si="0"/>
        <v>3178</v>
      </c>
      <c r="F19" s="284">
        <v>38980</v>
      </c>
      <c r="G19" s="284">
        <f>F19*55</f>
        <v>2143900</v>
      </c>
      <c r="H19" s="284">
        <v>19008</v>
      </c>
      <c r="I19" s="284">
        <f t="shared" si="1"/>
        <v>95040</v>
      </c>
      <c r="J19" s="287" t="s">
        <v>18</v>
      </c>
    </row>
    <row r="20" spans="1:10" s="167" customFormat="1" ht="15" customHeight="1">
      <c r="A20" s="332" t="s">
        <v>9</v>
      </c>
      <c r="B20" s="330">
        <v>237937</v>
      </c>
      <c r="C20" s="330">
        <v>475874</v>
      </c>
      <c r="D20" s="330">
        <v>701</v>
      </c>
      <c r="E20" s="330">
        <f t="shared" si="0"/>
        <v>1402</v>
      </c>
      <c r="F20" s="330">
        <v>26273</v>
      </c>
      <c r="G20" s="330">
        <v>656825</v>
      </c>
      <c r="H20" s="330">
        <v>10153</v>
      </c>
      <c r="I20" s="330">
        <f t="shared" si="1"/>
        <v>50765</v>
      </c>
      <c r="J20" s="333" t="s">
        <v>19</v>
      </c>
    </row>
    <row r="21" spans="1:10" s="167" customFormat="1" ht="15" customHeight="1">
      <c r="A21" s="286" t="s">
        <v>10</v>
      </c>
      <c r="B21" s="284">
        <v>104778</v>
      </c>
      <c r="C21" s="284">
        <v>218140</v>
      </c>
      <c r="D21" s="284">
        <v>8222</v>
      </c>
      <c r="E21" s="284">
        <f>D21*1</f>
        <v>8222</v>
      </c>
      <c r="F21" s="284">
        <v>30458</v>
      </c>
      <c r="G21" s="284">
        <f>F21*56</f>
        <v>1705648</v>
      </c>
      <c r="H21" s="284">
        <v>20245</v>
      </c>
      <c r="I21" s="284">
        <f>H21*3</f>
        <v>60735</v>
      </c>
      <c r="J21" s="287" t="s">
        <v>20</v>
      </c>
    </row>
    <row r="22" spans="1:10" s="167" customFormat="1" ht="15" customHeight="1">
      <c r="A22" s="332" t="s">
        <v>12</v>
      </c>
      <c r="B22" s="330">
        <v>131291</v>
      </c>
      <c r="C22" s="330">
        <v>236324</v>
      </c>
      <c r="D22" s="330">
        <v>6533</v>
      </c>
      <c r="E22" s="330">
        <f t="shared" si="0"/>
        <v>13066</v>
      </c>
      <c r="F22" s="330">
        <v>10207</v>
      </c>
      <c r="G22" s="330">
        <v>714490</v>
      </c>
      <c r="H22" s="330">
        <v>7553</v>
      </c>
      <c r="I22" s="330">
        <f>H22*4</f>
        <v>30212</v>
      </c>
      <c r="J22" s="333" t="s">
        <v>24</v>
      </c>
    </row>
    <row r="23" spans="1:10" s="167" customFormat="1" ht="15" customHeight="1" thickBot="1">
      <c r="A23" s="474" t="s">
        <v>13</v>
      </c>
      <c r="B23" s="475">
        <v>414677</v>
      </c>
      <c r="C23" s="284">
        <v>1095336</v>
      </c>
      <c r="D23" s="475">
        <v>3991</v>
      </c>
      <c r="E23" s="475">
        <f t="shared" si="0"/>
        <v>7982</v>
      </c>
      <c r="F23" s="475">
        <v>46800</v>
      </c>
      <c r="G23" s="475">
        <f>F23*55</f>
        <v>2574000</v>
      </c>
      <c r="H23" s="475">
        <v>10123</v>
      </c>
      <c r="I23" s="475">
        <v>50615</v>
      </c>
      <c r="J23" s="476" t="s">
        <v>22</v>
      </c>
    </row>
    <row r="24" spans="1:10" s="182" customFormat="1" ht="20.25" customHeight="1" thickBot="1">
      <c r="A24" s="204" t="s">
        <v>0</v>
      </c>
      <c r="B24" s="205">
        <f>SUM(B9:B23)</f>
        <v>3766537</v>
      </c>
      <c r="C24" s="205">
        <f t="shared" ref="C24:I24" si="2">SUM(C9:C23)</f>
        <v>7242333</v>
      </c>
      <c r="D24" s="205">
        <f>SUM(D9:D23)</f>
        <v>46937</v>
      </c>
      <c r="E24" s="205">
        <f t="shared" si="2"/>
        <v>76450</v>
      </c>
      <c r="F24" s="205">
        <f t="shared" si="2"/>
        <v>441752</v>
      </c>
      <c r="G24" s="205">
        <f t="shared" si="2"/>
        <v>24844073</v>
      </c>
      <c r="H24" s="205">
        <f t="shared" si="2"/>
        <v>303351</v>
      </c>
      <c r="I24" s="205">
        <f t="shared" si="2"/>
        <v>1156980</v>
      </c>
      <c r="J24" s="206" t="s">
        <v>1</v>
      </c>
    </row>
    <row r="25" spans="1:10" s="4" customFormat="1" ht="20.25" customHeight="1">
      <c r="A25" s="891"/>
      <c r="B25" s="891"/>
      <c r="C25" s="891"/>
      <c r="D25" s="891"/>
      <c r="E25" s="891"/>
      <c r="F25" s="891"/>
      <c r="G25" s="891"/>
      <c r="H25" s="891"/>
      <c r="I25" s="605"/>
      <c r="J25" s="606"/>
    </row>
    <row r="26" spans="1:10" ht="14.25">
      <c r="A26" s="593"/>
      <c r="B26" s="593"/>
      <c r="C26" s="593"/>
      <c r="D26" s="593"/>
      <c r="E26" s="593"/>
      <c r="F26" s="593"/>
      <c r="G26" s="593"/>
      <c r="H26" s="607"/>
      <c r="I26" s="593"/>
      <c r="J26" s="596"/>
    </row>
    <row r="27" spans="1:10" ht="12.75" customHeight="1">
      <c r="A27" s="912"/>
      <c r="B27" s="912"/>
      <c r="C27" s="593"/>
      <c r="D27" s="593"/>
      <c r="E27" s="593"/>
      <c r="F27" s="593"/>
      <c r="G27" s="593"/>
      <c r="H27" s="607"/>
      <c r="I27" s="913"/>
      <c r="J27" s="913"/>
    </row>
  </sheetData>
  <mergeCells count="17">
    <mergeCell ref="A1:J1"/>
    <mergeCell ref="A4:B4"/>
    <mergeCell ref="A2:J2"/>
    <mergeCell ref="I3:J3"/>
    <mergeCell ref="A27:B27"/>
    <mergeCell ref="I27:J27"/>
    <mergeCell ref="C4:D4"/>
    <mergeCell ref="H4:I4"/>
    <mergeCell ref="A25:H25"/>
    <mergeCell ref="B5:C5"/>
    <mergeCell ref="B6:C6"/>
    <mergeCell ref="F5:G5"/>
    <mergeCell ref="F6:G6"/>
    <mergeCell ref="D5:E5"/>
    <mergeCell ref="D6:E6"/>
    <mergeCell ref="H5:I5"/>
    <mergeCell ref="H6:I6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  <ignoredErrors>
    <ignoredError sqref="E15:E16 E14 I10 I13 I18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27"/>
  <sheetViews>
    <sheetView rightToLeft="1" zoomScale="80" zoomScaleNormal="80" zoomScaleSheetLayoutView="100" workbookViewId="0">
      <selection activeCell="A4" sqref="A4:B4"/>
    </sheetView>
  </sheetViews>
  <sheetFormatPr defaultRowHeight="12.75"/>
  <cols>
    <col min="1" max="1" width="12" customWidth="1"/>
    <col min="2" max="2" width="12.5703125" customWidth="1"/>
    <col min="3" max="3" width="13.7109375" customWidth="1"/>
    <col min="4" max="4" width="13.85546875" customWidth="1"/>
    <col min="5" max="5" width="17.42578125" customWidth="1"/>
    <col min="6" max="6" width="12.5703125" style="4" customWidth="1"/>
    <col min="7" max="7" width="15.5703125" customWidth="1"/>
  </cols>
  <sheetData>
    <row r="1" spans="1:7" ht="15">
      <c r="A1" s="933" t="s">
        <v>466</v>
      </c>
      <c r="B1" s="933"/>
      <c r="C1" s="933"/>
      <c r="D1" s="933"/>
      <c r="E1" s="933"/>
      <c r="F1" s="933"/>
      <c r="G1" s="933"/>
    </row>
    <row r="2" spans="1:7" ht="16.5" customHeight="1">
      <c r="A2" s="934" t="s">
        <v>387</v>
      </c>
      <c r="B2" s="934"/>
      <c r="C2" s="934"/>
      <c r="D2" s="934"/>
      <c r="E2" s="934"/>
      <c r="F2" s="934"/>
      <c r="G2" s="934"/>
    </row>
    <row r="3" spans="1:7" s="4" customFormat="1" ht="16.5" customHeight="1">
      <c r="A3" s="142"/>
      <c r="B3" s="142"/>
      <c r="C3" s="142"/>
      <c r="D3" s="142"/>
      <c r="E3" s="142"/>
      <c r="F3" s="164"/>
      <c r="G3" s="522"/>
    </row>
    <row r="4" spans="1:7" ht="15" customHeight="1" thickBot="1">
      <c r="A4" s="866" t="s">
        <v>456</v>
      </c>
      <c r="B4" s="866"/>
      <c r="C4" s="935" t="s">
        <v>167</v>
      </c>
      <c r="D4" s="935"/>
      <c r="E4" s="95"/>
      <c r="F4" s="523"/>
      <c r="G4" s="152" t="s">
        <v>461</v>
      </c>
    </row>
    <row r="5" spans="1:7" ht="15" customHeight="1">
      <c r="A5" s="96"/>
      <c r="B5" s="97" t="s">
        <v>43</v>
      </c>
      <c r="C5" s="98"/>
      <c r="D5" s="97" t="s">
        <v>35</v>
      </c>
      <c r="E5" s="97"/>
      <c r="F5" s="524" t="s">
        <v>369</v>
      </c>
      <c r="G5" s="96"/>
    </row>
    <row r="6" spans="1:7" s="4" customFormat="1" ht="28.5" customHeight="1">
      <c r="A6" s="115"/>
      <c r="B6" s="116" t="s">
        <v>234</v>
      </c>
      <c r="C6" s="115"/>
      <c r="D6" s="126" t="s">
        <v>288</v>
      </c>
      <c r="E6" s="116"/>
      <c r="F6" s="525" t="s">
        <v>1</v>
      </c>
      <c r="G6" s="115"/>
    </row>
    <row r="7" spans="1:7" ht="15" customHeight="1">
      <c r="A7" s="99"/>
      <c r="B7" s="207" t="s">
        <v>26</v>
      </c>
      <c r="C7" s="208" t="s">
        <v>216</v>
      </c>
      <c r="D7" s="208" t="s">
        <v>26</v>
      </c>
      <c r="E7" s="208" t="s">
        <v>218</v>
      </c>
      <c r="F7" s="526" t="s">
        <v>216</v>
      </c>
      <c r="G7" s="115"/>
    </row>
    <row r="8" spans="1:7" s="2" customFormat="1" ht="15" customHeight="1" thickBot="1">
      <c r="A8" s="477" t="s">
        <v>47</v>
      </c>
      <c r="B8" s="478" t="s">
        <v>120</v>
      </c>
      <c r="C8" s="479" t="s">
        <v>28</v>
      </c>
      <c r="D8" s="479" t="s">
        <v>120</v>
      </c>
      <c r="E8" s="479" t="s">
        <v>28</v>
      </c>
      <c r="F8" s="527" t="s">
        <v>28</v>
      </c>
      <c r="G8" s="480" t="s">
        <v>25</v>
      </c>
    </row>
    <row r="9" spans="1:7" s="240" customFormat="1" ht="15" customHeight="1" thickTop="1">
      <c r="A9" s="283" t="s">
        <v>329</v>
      </c>
      <c r="B9" s="284">
        <v>1910</v>
      </c>
      <c r="C9" s="284">
        <f>B9*4.5</f>
        <v>8595</v>
      </c>
      <c r="D9" s="284">
        <v>388</v>
      </c>
      <c r="E9" s="284">
        <f>D9*150</f>
        <v>58200</v>
      </c>
      <c r="F9" s="532">
        <f>ت.كهربائيه1!C9+ت.كهربائيه1!E9+ت.كهربائيه1!G9+ت.كهربائيه1!I9+ت.كهربائيه2!C9+ت.كهربائيه2!E9</f>
        <v>982461</v>
      </c>
      <c r="G9" s="288" t="s">
        <v>379</v>
      </c>
    </row>
    <row r="10" spans="1:7" s="167" customFormat="1" ht="15" customHeight="1">
      <c r="A10" s="329" t="s">
        <v>29</v>
      </c>
      <c r="B10" s="330">
        <v>7787</v>
      </c>
      <c r="C10" s="330">
        <f>B10*4</f>
        <v>31148</v>
      </c>
      <c r="D10" s="330">
        <v>864</v>
      </c>
      <c r="E10" s="330">
        <f t="shared" ref="E10:E23" si="0">D10*150</f>
        <v>129600</v>
      </c>
      <c r="F10" s="330">
        <f>ت.كهربائيه1!C10+ت.كهربائيه1!E10+ت.كهربائيه1!G10+ت.كهربائيه1!I10+ت.كهربائيه2!C10+ت.كهربائيه2!E10</f>
        <v>2472217</v>
      </c>
      <c r="G10" s="336" t="s">
        <v>30</v>
      </c>
    </row>
    <row r="11" spans="1:7" s="167" customFormat="1" ht="15" customHeight="1">
      <c r="A11" s="286" t="s">
        <v>3</v>
      </c>
      <c r="B11" s="284">
        <v>971</v>
      </c>
      <c r="C11" s="284">
        <f t="shared" ref="C11:C23" si="1">B11*4.5</f>
        <v>4369.5</v>
      </c>
      <c r="D11" s="284">
        <v>700</v>
      </c>
      <c r="E11" s="284">
        <f t="shared" si="0"/>
        <v>105000</v>
      </c>
      <c r="F11" s="284">
        <f>ت.كهربائيه1!C11+ت.كهربائيه1!E11+ت.كهربائيه1!G11+ت.كهربائيه1!I11+ت.كهربائيه2!C11+ت.كهربائيه2!E11</f>
        <v>2229551.5</v>
      </c>
      <c r="G11" s="288" t="s">
        <v>15</v>
      </c>
    </row>
    <row r="12" spans="1:7" s="167" customFormat="1" ht="15" customHeight="1">
      <c r="A12" s="329" t="s">
        <v>320</v>
      </c>
      <c r="B12" s="330">
        <v>2736</v>
      </c>
      <c r="C12" s="330">
        <f t="shared" si="1"/>
        <v>12312</v>
      </c>
      <c r="D12" s="330">
        <v>79</v>
      </c>
      <c r="E12" s="330">
        <f t="shared" si="0"/>
        <v>11850</v>
      </c>
      <c r="F12" s="330">
        <f>ت.كهربائيه1!C12+ت.كهربائيه1!E12+ت.كهربائيه1!G12+ت.كهربائيه1!I12+ت.كهربائيه2!C12+ت.كهربائيه2!E12</f>
        <v>1058796</v>
      </c>
      <c r="G12" s="336" t="s">
        <v>316</v>
      </c>
    </row>
    <row r="13" spans="1:7" s="167" customFormat="1" ht="15" customHeight="1">
      <c r="A13" s="286" t="s">
        <v>4</v>
      </c>
      <c r="B13" s="284">
        <v>42175</v>
      </c>
      <c r="C13" s="284">
        <f>B13*3</f>
        <v>126525</v>
      </c>
      <c r="D13" s="284">
        <v>8297</v>
      </c>
      <c r="E13" s="284">
        <f>D13*130</f>
        <v>1078610</v>
      </c>
      <c r="F13" s="284">
        <f>ت.كهربائيه1!C13+ت.كهربائيه1!E13+ت.كهربائيه1!G13+ت.كهربائيه1!I13+ت.كهربائيه2!C13+ت.كهربائيه2!E13</f>
        <v>8580665</v>
      </c>
      <c r="G13" s="288" t="s">
        <v>16</v>
      </c>
    </row>
    <row r="14" spans="1:7" s="167" customFormat="1" ht="15" customHeight="1">
      <c r="A14" s="332" t="s">
        <v>5</v>
      </c>
      <c r="B14" s="330">
        <v>3058</v>
      </c>
      <c r="C14" s="330">
        <f t="shared" si="1"/>
        <v>13761</v>
      </c>
      <c r="D14" s="330">
        <v>601</v>
      </c>
      <c r="E14" s="330">
        <f t="shared" si="0"/>
        <v>90150</v>
      </c>
      <c r="F14" s="330">
        <f>ت.كهربائيه1!C14+ت.كهربائيه1!E14+ت.كهربائيه1!G14+ت.كهربائيه1!I14+ت.كهربائيه2!C14+ت.كهربائيه2!E14</f>
        <v>2500027</v>
      </c>
      <c r="G14" s="336" t="s">
        <v>23</v>
      </c>
    </row>
    <row r="15" spans="1:7" s="167" customFormat="1" ht="15" customHeight="1">
      <c r="A15" s="286" t="s">
        <v>6</v>
      </c>
      <c r="B15" s="284">
        <v>7306</v>
      </c>
      <c r="C15" s="284">
        <f t="shared" si="1"/>
        <v>32877</v>
      </c>
      <c r="D15" s="284">
        <v>991</v>
      </c>
      <c r="E15" s="284">
        <f t="shared" si="0"/>
        <v>148650</v>
      </c>
      <c r="F15" s="284">
        <f>ت.كهربائيه1!C15+ت.كهربائيه1!E15+ت.كهربائيه1!G15+ت.كهربائيه1!I15+ت.كهربائيه2!C15+ت.كهربائيه2!E15</f>
        <v>707984</v>
      </c>
      <c r="G15" s="288" t="s">
        <v>380</v>
      </c>
    </row>
    <row r="16" spans="1:7" s="167" customFormat="1" ht="15" customHeight="1">
      <c r="A16" s="332" t="s">
        <v>11</v>
      </c>
      <c r="B16" s="330">
        <v>3385</v>
      </c>
      <c r="C16" s="330">
        <f t="shared" si="1"/>
        <v>15232.5</v>
      </c>
      <c r="D16" s="330">
        <v>1883</v>
      </c>
      <c r="E16" s="330">
        <f t="shared" si="0"/>
        <v>282450</v>
      </c>
      <c r="F16" s="330">
        <f>ت.كهربائيه1!C16+ت.كهربائيه1!E16+ت.كهربائيه1!G16+ت.كهربائيه1!I16+ت.كهربائيه2!C16+ت.كهربائيه2!E16</f>
        <v>1616194.5</v>
      </c>
      <c r="G16" s="336" t="s">
        <v>21</v>
      </c>
    </row>
    <row r="17" spans="1:10" s="167" customFormat="1" ht="15.75" customHeight="1">
      <c r="A17" s="286" t="s">
        <v>2</v>
      </c>
      <c r="B17" s="284">
        <v>808</v>
      </c>
      <c r="C17" s="284">
        <f t="shared" si="1"/>
        <v>3636</v>
      </c>
      <c r="D17" s="284">
        <v>450</v>
      </c>
      <c r="E17" s="284">
        <f t="shared" si="0"/>
        <v>67500</v>
      </c>
      <c r="F17" s="284">
        <f>ت.كهربائيه1!C17+ت.كهربائيه1!E17+ت.كهربائيه1!G17+ت.كهربائيه1!I17+ت.كهربائيه2!C17+ت.كهربائيه2!E17</f>
        <v>685093</v>
      </c>
      <c r="G17" s="288" t="s">
        <v>14</v>
      </c>
    </row>
    <row r="18" spans="1:10" s="167" customFormat="1" ht="15" customHeight="1">
      <c r="A18" s="332" t="s">
        <v>7</v>
      </c>
      <c r="B18" s="330">
        <v>12412</v>
      </c>
      <c r="C18" s="786">
        <f>B18*3</f>
        <v>37236</v>
      </c>
      <c r="D18" s="330">
        <v>2488</v>
      </c>
      <c r="E18" s="330">
        <f>D18*130</f>
        <v>323440</v>
      </c>
      <c r="F18" s="330">
        <f>ت.كهربائيه1!C18+ت.كهربائيه1!E18+ت.كهربائيه1!G18+ت.كهربائيه1!I18+ت.كهربائيه2!C18+ت.كهربائيه2!E18</f>
        <v>4197223</v>
      </c>
      <c r="G18" s="336" t="s">
        <v>17</v>
      </c>
    </row>
    <row r="19" spans="1:10" s="167" customFormat="1" ht="15" customHeight="1">
      <c r="A19" s="286" t="s">
        <v>8</v>
      </c>
      <c r="B19" s="284">
        <v>7777</v>
      </c>
      <c r="C19" s="284">
        <f t="shared" si="1"/>
        <v>34996.5</v>
      </c>
      <c r="D19" s="284">
        <v>1155</v>
      </c>
      <c r="E19" s="284">
        <f t="shared" si="0"/>
        <v>173250</v>
      </c>
      <c r="F19" s="284">
        <f>ت.كهربائيه1!C19+ت.كهربائيه1!E19+ت.كهربائيه1!G19+ت.كهربائيه1!I19+ت.كهربائيه2!C19+ت.كهربائيه2!E19</f>
        <v>3179376.5</v>
      </c>
      <c r="G19" s="288" t="s">
        <v>18</v>
      </c>
    </row>
    <row r="20" spans="1:10" s="167" customFormat="1" ht="15" customHeight="1">
      <c r="A20" s="332" t="s">
        <v>9</v>
      </c>
      <c r="B20" s="330">
        <v>3426</v>
      </c>
      <c r="C20" s="330">
        <f t="shared" si="1"/>
        <v>15417</v>
      </c>
      <c r="D20" s="330">
        <v>509</v>
      </c>
      <c r="E20" s="330">
        <f>D20*140</f>
        <v>71260</v>
      </c>
      <c r="F20" s="330">
        <f>ت.كهربائيه1!C20+ت.كهربائيه1!E20+ت.كهربائيه1!G20+ت.كهربائيه1!I20+ت.كهربائيه2!C20+ت.كهربائيه2!E20</f>
        <v>1271543</v>
      </c>
      <c r="G20" s="336" t="s">
        <v>19</v>
      </c>
    </row>
    <row r="21" spans="1:10" s="167" customFormat="1" ht="15" customHeight="1">
      <c r="A21" s="286" t="s">
        <v>10</v>
      </c>
      <c r="B21" s="284">
        <v>13200</v>
      </c>
      <c r="C21" s="284">
        <f>B21*3</f>
        <v>39600</v>
      </c>
      <c r="D21" s="284">
        <v>2211</v>
      </c>
      <c r="E21" s="284">
        <f t="shared" si="0"/>
        <v>331650</v>
      </c>
      <c r="F21" s="284">
        <f>ت.كهربائيه1!C21+ت.كهربائيه1!E21+ت.كهربائيه1!G21+ت.كهربائيه1!I21+ت.كهربائيه2!C21+ت.كهربائيه2!E21</f>
        <v>2363995</v>
      </c>
      <c r="G21" s="288" t="s">
        <v>20</v>
      </c>
    </row>
    <row r="22" spans="1:10" s="167" customFormat="1" ht="15" customHeight="1">
      <c r="A22" s="332" t="s">
        <v>12</v>
      </c>
      <c r="B22" s="330">
        <v>10653</v>
      </c>
      <c r="C22" s="330">
        <f t="shared" si="1"/>
        <v>47938.5</v>
      </c>
      <c r="D22" s="330">
        <v>1276</v>
      </c>
      <c r="E22" s="330">
        <f t="shared" si="0"/>
        <v>191400</v>
      </c>
      <c r="F22" s="330">
        <f>ت.كهربائيه1!C22+ت.كهربائيه1!E22+ت.كهربائيه1!G22+ت.كهربائيه1!I22+ت.كهربائيه2!C22+ت.كهربائيه2!E22</f>
        <v>1233430.5</v>
      </c>
      <c r="G22" s="336" t="s">
        <v>24</v>
      </c>
    </row>
    <row r="23" spans="1:10" s="167" customFormat="1" ht="15" customHeight="1" thickBot="1">
      <c r="A23" s="474" t="s">
        <v>13</v>
      </c>
      <c r="B23" s="475">
        <v>1543</v>
      </c>
      <c r="C23" s="284">
        <f t="shared" si="1"/>
        <v>6943.5</v>
      </c>
      <c r="D23" s="475">
        <v>1067</v>
      </c>
      <c r="E23" s="284">
        <f t="shared" si="0"/>
        <v>160050</v>
      </c>
      <c r="F23" s="284">
        <f>ت.كهربائيه1!C23+ت.كهربائيه1!E23+ت.كهربائيه1!G23+ت.كهربائيه1!I23+ت.كهربائيه2!C23+ت.كهربائيه2!E23</f>
        <v>3894926.5</v>
      </c>
      <c r="G23" s="481" t="s">
        <v>22</v>
      </c>
    </row>
    <row r="24" spans="1:10" s="240" customFormat="1" ht="16.5" customHeight="1" thickBot="1">
      <c r="A24" s="289" t="s">
        <v>0</v>
      </c>
      <c r="B24" s="290">
        <f>SUM(B9:B23)</f>
        <v>119147</v>
      </c>
      <c r="C24" s="290">
        <f t="shared" ref="C24:E24" si="2">SUM(C9:C23)</f>
        <v>430587.5</v>
      </c>
      <c r="D24" s="290">
        <f t="shared" si="2"/>
        <v>22959</v>
      </c>
      <c r="E24" s="290">
        <f t="shared" si="2"/>
        <v>3223060</v>
      </c>
      <c r="F24" s="290">
        <f>SUM(F9:F23)</f>
        <v>36973483.5</v>
      </c>
      <c r="G24" s="291" t="s">
        <v>1</v>
      </c>
    </row>
    <row r="25" spans="1:10" s="111" customFormat="1" ht="16.5" customHeight="1">
      <c r="A25" s="891"/>
      <c r="B25" s="891"/>
      <c r="C25" s="891"/>
      <c r="D25" s="891"/>
      <c r="E25" s="891"/>
      <c r="F25" s="891"/>
      <c r="G25" s="891"/>
      <c r="H25" s="604"/>
      <c r="I25" s="604"/>
      <c r="J25" s="604"/>
    </row>
    <row r="26" spans="1:10" ht="14.25">
      <c r="A26" s="593"/>
      <c r="B26" s="593"/>
      <c r="C26" s="593"/>
      <c r="D26" s="593"/>
      <c r="E26" s="593"/>
      <c r="F26" s="593"/>
      <c r="G26" s="596"/>
      <c r="H26" s="593"/>
      <c r="I26" s="593"/>
      <c r="J26" s="593"/>
    </row>
    <row r="27" spans="1:10" ht="15">
      <c r="A27" s="912"/>
      <c r="B27" s="912"/>
      <c r="C27" s="593"/>
      <c r="D27" s="593"/>
      <c r="E27" s="593"/>
      <c r="F27" s="593"/>
      <c r="G27" s="597"/>
      <c r="H27" s="593"/>
      <c r="I27" s="593"/>
      <c r="J27" s="603"/>
    </row>
  </sheetData>
  <mergeCells count="6">
    <mergeCell ref="A27:B27"/>
    <mergeCell ref="A1:G1"/>
    <mergeCell ref="A2:G2"/>
    <mergeCell ref="A4:B4"/>
    <mergeCell ref="C4:D4"/>
    <mergeCell ref="A25:G25"/>
  </mergeCells>
  <phoneticPr fontId="3" type="noConversion"/>
  <printOptions horizontalCentered="1" verticalCentered="1"/>
  <pageMargins left="0.23622047244094491" right="0.35" top="1.3779527559055118" bottom="1.8110236220472442" header="0.19685039370078741" footer="0.78740157480314965"/>
  <pageSetup paperSize="9" scale="90" orientation="landscape" r:id="rId1"/>
  <headerFooter alignWithMargins="0"/>
  <ignoredErrors>
    <ignoredError sqref="E13 E20 E18 C13 C10 C21 C18" 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U27"/>
  <sheetViews>
    <sheetView rightToLeft="1" zoomScale="80" zoomScaleNormal="80" zoomScaleSheetLayoutView="93" workbookViewId="0">
      <selection activeCell="A4" sqref="A4:B4"/>
    </sheetView>
  </sheetViews>
  <sheetFormatPr defaultRowHeight="12.75"/>
  <cols>
    <col min="1" max="1" width="9.42578125" customWidth="1"/>
    <col min="2" max="2" width="10.140625" bestFit="1" customWidth="1"/>
    <col min="3" max="3" width="12.42578125" bestFit="1" customWidth="1"/>
    <col min="4" max="4" width="8.42578125" bestFit="1" customWidth="1"/>
    <col min="5" max="5" width="12.42578125" bestFit="1" customWidth="1"/>
    <col min="6" max="6" width="10.140625" bestFit="1" customWidth="1"/>
    <col min="7" max="7" width="12.42578125" bestFit="1" customWidth="1"/>
    <col min="8" max="8" width="10.140625" bestFit="1" customWidth="1"/>
    <col min="9" max="9" width="11.28515625" bestFit="1" customWidth="1"/>
    <col min="10" max="10" width="10.140625" bestFit="1" customWidth="1"/>
    <col min="11" max="11" width="11.28515625" bestFit="1" customWidth="1"/>
    <col min="12" max="12" width="14.7109375" bestFit="1" customWidth="1"/>
    <col min="13" max="13" width="5.5703125" customWidth="1"/>
    <col min="14" max="14" width="8.5703125" customWidth="1"/>
    <col min="15" max="15" width="5.140625" customWidth="1"/>
    <col min="16" max="16" width="7.42578125" customWidth="1"/>
    <col min="17" max="17" width="9.42578125" customWidth="1"/>
    <col min="18" max="18" width="9" customWidth="1"/>
  </cols>
  <sheetData>
    <row r="1" spans="1:21" ht="15">
      <c r="A1" s="936" t="s">
        <v>466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</row>
    <row r="2" spans="1:21" ht="15">
      <c r="A2" s="937" t="s">
        <v>386</v>
      </c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</row>
    <row r="3" spans="1:21" s="4" customFormat="1" ht="1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899" t="s">
        <v>194</v>
      </c>
      <c r="L3" s="899"/>
    </row>
    <row r="4" spans="1:21" s="2" customFormat="1" ht="18" customHeight="1" thickBot="1">
      <c r="A4" s="866" t="s">
        <v>456</v>
      </c>
      <c r="B4" s="866"/>
      <c r="C4" s="939" t="s">
        <v>161</v>
      </c>
      <c r="D4" s="939"/>
      <c r="E4" s="939"/>
      <c r="F4" s="16"/>
      <c r="G4" s="16"/>
      <c r="H4" s="929" t="s">
        <v>305</v>
      </c>
      <c r="I4" s="929"/>
      <c r="J4" s="929"/>
      <c r="K4" s="929"/>
      <c r="L4" s="101" t="s">
        <v>461</v>
      </c>
    </row>
    <row r="5" spans="1:21" s="2" customFormat="1" ht="15" customHeight="1">
      <c r="A5" s="26"/>
      <c r="B5" s="938" t="s">
        <v>224</v>
      </c>
      <c r="C5" s="938"/>
      <c r="D5" s="938" t="s">
        <v>223</v>
      </c>
      <c r="E5" s="938"/>
      <c r="F5" s="938" t="s">
        <v>221</v>
      </c>
      <c r="G5" s="938"/>
      <c r="H5" s="482" t="s">
        <v>52</v>
      </c>
      <c r="I5" s="109"/>
      <c r="J5" s="100" t="s">
        <v>44</v>
      </c>
      <c r="K5" s="100"/>
      <c r="L5" s="26"/>
      <c r="M5"/>
      <c r="N5"/>
      <c r="O5"/>
      <c r="P5"/>
      <c r="Q5"/>
      <c r="R5"/>
      <c r="S5"/>
      <c r="T5"/>
      <c r="U5"/>
    </row>
    <row r="6" spans="1:21" s="2" customFormat="1" ht="15" customHeight="1">
      <c r="A6" s="26"/>
      <c r="B6" s="940" t="s">
        <v>270</v>
      </c>
      <c r="C6" s="940"/>
      <c r="D6" s="938" t="s">
        <v>239</v>
      </c>
      <c r="E6" s="938"/>
      <c r="F6" s="940" t="s">
        <v>222</v>
      </c>
      <c r="G6" s="940"/>
      <c r="H6" s="40" t="s">
        <v>271</v>
      </c>
      <c r="I6" s="40"/>
      <c r="J6" s="102" t="s">
        <v>272</v>
      </c>
      <c r="K6" s="100"/>
      <c r="L6" s="26"/>
      <c r="M6"/>
      <c r="N6"/>
      <c r="O6"/>
      <c r="P6"/>
      <c r="Q6"/>
      <c r="R6"/>
      <c r="S6"/>
      <c r="T6"/>
      <c r="U6"/>
    </row>
    <row r="7" spans="1:21" s="182" customFormat="1" ht="15" customHeight="1">
      <c r="A7" s="213"/>
      <c r="B7" s="213" t="s">
        <v>26</v>
      </c>
      <c r="C7" s="213" t="s">
        <v>216</v>
      </c>
      <c r="D7" s="213" t="s">
        <v>26</v>
      </c>
      <c r="E7" s="214" t="s">
        <v>216</v>
      </c>
      <c r="F7" s="213" t="s">
        <v>26</v>
      </c>
      <c r="G7" s="213" t="s">
        <v>216</v>
      </c>
      <c r="H7" s="215" t="s">
        <v>26</v>
      </c>
      <c r="I7" s="215" t="s">
        <v>216</v>
      </c>
      <c r="J7" s="213" t="s">
        <v>26</v>
      </c>
      <c r="K7" s="213" t="s">
        <v>216</v>
      </c>
      <c r="L7" s="216"/>
    </row>
    <row r="8" spans="1:21" s="182" customFormat="1" ht="15" customHeight="1" thickBot="1">
      <c r="A8" s="209" t="s">
        <v>47</v>
      </c>
      <c r="B8" s="210" t="s">
        <v>120</v>
      </c>
      <c r="C8" s="210" t="s">
        <v>28</v>
      </c>
      <c r="D8" s="210" t="s">
        <v>120</v>
      </c>
      <c r="E8" s="210" t="s">
        <v>28</v>
      </c>
      <c r="F8" s="210" t="s">
        <v>120</v>
      </c>
      <c r="G8" s="210" t="s">
        <v>28</v>
      </c>
      <c r="H8" s="211" t="s">
        <v>120</v>
      </c>
      <c r="I8" s="211" t="s">
        <v>28</v>
      </c>
      <c r="J8" s="209" t="s">
        <v>120</v>
      </c>
      <c r="K8" s="209" t="s">
        <v>28</v>
      </c>
      <c r="L8" s="212" t="s">
        <v>25</v>
      </c>
    </row>
    <row r="9" spans="1:21" s="167" customFormat="1" ht="15" customHeight="1" thickTop="1">
      <c r="A9" s="283" t="s">
        <v>329</v>
      </c>
      <c r="B9" s="293">
        <v>775</v>
      </c>
      <c r="C9" s="293">
        <f>B9*47</f>
        <v>36425</v>
      </c>
      <c r="D9" s="293">
        <v>109</v>
      </c>
      <c r="E9" s="293">
        <f>D9*300</f>
        <v>32700</v>
      </c>
      <c r="F9" s="293">
        <v>1463</v>
      </c>
      <c r="G9" s="293">
        <f>F9*32</f>
        <v>46816</v>
      </c>
      <c r="H9" s="294">
        <v>986</v>
      </c>
      <c r="I9" s="294">
        <f>H9*10</f>
        <v>9860</v>
      </c>
      <c r="J9" s="293">
        <v>117</v>
      </c>
      <c r="K9" s="293">
        <f>J9*17</f>
        <v>1989</v>
      </c>
      <c r="L9" s="288" t="s">
        <v>379</v>
      </c>
      <c r="M9" s="292"/>
    </row>
    <row r="10" spans="1:21" s="167" customFormat="1" ht="15" customHeight="1">
      <c r="A10" s="329" t="s">
        <v>29</v>
      </c>
      <c r="B10" s="334">
        <v>1490</v>
      </c>
      <c r="C10" s="334">
        <f>B10*45</f>
        <v>67050</v>
      </c>
      <c r="D10" s="334">
        <v>319</v>
      </c>
      <c r="E10" s="334">
        <f t="shared" ref="E10:E23" si="0">D10*300</f>
        <v>95700</v>
      </c>
      <c r="F10" s="334">
        <v>1955</v>
      </c>
      <c r="G10" s="334">
        <f t="shared" ref="G10:G23" si="1">F10*30</f>
        <v>58650</v>
      </c>
      <c r="H10" s="335">
        <v>4998</v>
      </c>
      <c r="I10" s="335">
        <f t="shared" ref="I10:I23" si="2">H10*10</f>
        <v>49980</v>
      </c>
      <c r="J10" s="334">
        <v>505</v>
      </c>
      <c r="K10" s="334">
        <f t="shared" ref="K10:K23" si="3">J10*17</f>
        <v>8585</v>
      </c>
      <c r="L10" s="336" t="s">
        <v>30</v>
      </c>
      <c r="M10" s="292"/>
    </row>
    <row r="11" spans="1:21" s="167" customFormat="1" ht="15" customHeight="1">
      <c r="A11" s="286" t="s">
        <v>3</v>
      </c>
      <c r="B11" s="293">
        <v>972</v>
      </c>
      <c r="C11" s="293">
        <f t="shared" ref="C11:C22" si="4">B11*47</f>
        <v>45684</v>
      </c>
      <c r="D11" s="293">
        <v>677</v>
      </c>
      <c r="E11" s="293">
        <f t="shared" si="0"/>
        <v>203100</v>
      </c>
      <c r="F11" s="293">
        <v>1008</v>
      </c>
      <c r="G11" s="293">
        <f t="shared" si="1"/>
        <v>30240</v>
      </c>
      <c r="H11" s="294">
        <v>3009</v>
      </c>
      <c r="I11" s="294">
        <f>H11*15</f>
        <v>45135</v>
      </c>
      <c r="J11" s="293">
        <v>199</v>
      </c>
      <c r="K11" s="293">
        <f t="shared" si="3"/>
        <v>3383</v>
      </c>
      <c r="L11" s="288" t="s">
        <v>15</v>
      </c>
      <c r="M11" s="292"/>
    </row>
    <row r="12" spans="1:21" s="167" customFormat="1" ht="15" customHeight="1">
      <c r="A12" s="329" t="s">
        <v>320</v>
      </c>
      <c r="B12" s="334">
        <v>602</v>
      </c>
      <c r="C12" s="334">
        <f t="shared" si="4"/>
        <v>28294</v>
      </c>
      <c r="D12" s="334">
        <v>152</v>
      </c>
      <c r="E12" s="334">
        <f t="shared" si="0"/>
        <v>45600</v>
      </c>
      <c r="F12" s="334">
        <v>311</v>
      </c>
      <c r="G12" s="334">
        <f t="shared" si="1"/>
        <v>9330</v>
      </c>
      <c r="H12" s="335">
        <v>1432</v>
      </c>
      <c r="I12" s="335">
        <f>H12*15</f>
        <v>21480</v>
      </c>
      <c r="J12" s="334">
        <v>317</v>
      </c>
      <c r="K12" s="334">
        <f t="shared" si="3"/>
        <v>5389</v>
      </c>
      <c r="L12" s="336" t="s">
        <v>316</v>
      </c>
      <c r="M12" s="292"/>
    </row>
    <row r="13" spans="1:21" s="167" customFormat="1" ht="15" customHeight="1">
      <c r="A13" s="286" t="s">
        <v>4</v>
      </c>
      <c r="B13" s="293">
        <v>9008</v>
      </c>
      <c r="C13" s="293">
        <f>B13*45</f>
        <v>405360</v>
      </c>
      <c r="D13" s="293">
        <v>8048</v>
      </c>
      <c r="E13" s="293">
        <f>D13*250</f>
        <v>2012000</v>
      </c>
      <c r="F13" s="293">
        <v>9673</v>
      </c>
      <c r="G13" s="293">
        <f t="shared" si="1"/>
        <v>290190</v>
      </c>
      <c r="H13" s="294">
        <v>17507</v>
      </c>
      <c r="I13" s="294">
        <f>H13*14</f>
        <v>245098</v>
      </c>
      <c r="J13" s="293">
        <v>9644</v>
      </c>
      <c r="K13" s="293">
        <f t="shared" si="3"/>
        <v>163948</v>
      </c>
      <c r="L13" s="288" t="s">
        <v>16</v>
      </c>
      <c r="M13" s="292"/>
    </row>
    <row r="14" spans="1:21" s="167" customFormat="1" ht="15" customHeight="1">
      <c r="A14" s="332" t="s">
        <v>5</v>
      </c>
      <c r="B14" s="334">
        <v>1994</v>
      </c>
      <c r="C14" s="334">
        <f t="shared" si="4"/>
        <v>93718</v>
      </c>
      <c r="D14" s="334">
        <v>321</v>
      </c>
      <c r="E14" s="334">
        <f t="shared" si="0"/>
        <v>96300</v>
      </c>
      <c r="F14" s="334">
        <v>1197</v>
      </c>
      <c r="G14" s="334">
        <f t="shared" si="1"/>
        <v>35910</v>
      </c>
      <c r="H14" s="335">
        <v>3356</v>
      </c>
      <c r="I14" s="335">
        <f t="shared" si="2"/>
        <v>33560</v>
      </c>
      <c r="J14" s="334">
        <v>827</v>
      </c>
      <c r="K14" s="334">
        <f t="shared" si="3"/>
        <v>14059</v>
      </c>
      <c r="L14" s="336" t="s">
        <v>23</v>
      </c>
      <c r="M14" s="292"/>
    </row>
    <row r="15" spans="1:21" s="167" customFormat="1" ht="17.25" customHeight="1">
      <c r="A15" s="286" t="s">
        <v>6</v>
      </c>
      <c r="B15" s="293">
        <v>1917</v>
      </c>
      <c r="C15" s="293">
        <f t="shared" si="4"/>
        <v>90099</v>
      </c>
      <c r="D15" s="293">
        <v>411</v>
      </c>
      <c r="E15" s="293">
        <f t="shared" si="0"/>
        <v>123300</v>
      </c>
      <c r="F15" s="293">
        <v>1533</v>
      </c>
      <c r="G15" s="293">
        <f t="shared" si="1"/>
        <v>45990</v>
      </c>
      <c r="H15" s="294">
        <v>2644</v>
      </c>
      <c r="I15" s="294">
        <f>H15*7</f>
        <v>18508</v>
      </c>
      <c r="J15" s="293">
        <v>1009</v>
      </c>
      <c r="K15" s="293">
        <f t="shared" si="3"/>
        <v>17153</v>
      </c>
      <c r="L15" s="288" t="s">
        <v>380</v>
      </c>
      <c r="M15" s="292"/>
    </row>
    <row r="16" spans="1:21" s="167" customFormat="1" ht="18.75" customHeight="1">
      <c r="A16" s="332" t="s">
        <v>11</v>
      </c>
      <c r="B16" s="334">
        <v>1297</v>
      </c>
      <c r="C16" s="334">
        <f>B16*35</f>
        <v>45395</v>
      </c>
      <c r="D16" s="334">
        <v>129</v>
      </c>
      <c r="E16" s="334">
        <f t="shared" si="0"/>
        <v>38700</v>
      </c>
      <c r="F16" s="334">
        <v>1204</v>
      </c>
      <c r="G16" s="334">
        <f t="shared" si="1"/>
        <v>36120</v>
      </c>
      <c r="H16" s="335">
        <v>3055</v>
      </c>
      <c r="I16" s="335">
        <f>H16*19</f>
        <v>58045</v>
      </c>
      <c r="J16" s="334">
        <v>237</v>
      </c>
      <c r="K16" s="334">
        <f t="shared" si="3"/>
        <v>4029</v>
      </c>
      <c r="L16" s="336" t="s">
        <v>21</v>
      </c>
      <c r="M16" s="292"/>
    </row>
    <row r="17" spans="1:13" s="167" customFormat="1" ht="15" customHeight="1">
      <c r="A17" s="286" t="s">
        <v>2</v>
      </c>
      <c r="B17" s="293">
        <v>321</v>
      </c>
      <c r="C17" s="293">
        <f t="shared" si="4"/>
        <v>15087</v>
      </c>
      <c r="D17" s="293">
        <v>98</v>
      </c>
      <c r="E17" s="293">
        <f t="shared" si="0"/>
        <v>29400</v>
      </c>
      <c r="F17" s="293">
        <v>251</v>
      </c>
      <c r="G17" s="293">
        <f>F17*34</f>
        <v>8534</v>
      </c>
      <c r="H17" s="294">
        <v>640</v>
      </c>
      <c r="I17" s="294">
        <f t="shared" si="2"/>
        <v>6400</v>
      </c>
      <c r="J17" s="293">
        <v>107</v>
      </c>
      <c r="K17" s="293">
        <f t="shared" si="3"/>
        <v>1819</v>
      </c>
      <c r="L17" s="295" t="s">
        <v>14</v>
      </c>
      <c r="M17" s="292"/>
    </row>
    <row r="18" spans="1:13" s="167" customFormat="1" ht="15" customHeight="1">
      <c r="A18" s="332" t="s">
        <v>7</v>
      </c>
      <c r="B18" s="334">
        <v>2408</v>
      </c>
      <c r="C18" s="785">
        <f>B18*40</f>
        <v>96320</v>
      </c>
      <c r="D18" s="334">
        <v>796</v>
      </c>
      <c r="E18" s="334">
        <f t="shared" si="0"/>
        <v>238800</v>
      </c>
      <c r="F18" s="334">
        <v>2381</v>
      </c>
      <c r="G18" s="334">
        <f t="shared" si="1"/>
        <v>71430</v>
      </c>
      <c r="H18" s="335">
        <v>6049</v>
      </c>
      <c r="I18" s="335">
        <f>H18*15</f>
        <v>90735</v>
      </c>
      <c r="J18" s="334">
        <v>6955</v>
      </c>
      <c r="K18" s="334">
        <f t="shared" si="3"/>
        <v>118235</v>
      </c>
      <c r="L18" s="336" t="s">
        <v>17</v>
      </c>
      <c r="M18" s="292"/>
    </row>
    <row r="19" spans="1:13" s="167" customFormat="1" ht="15" customHeight="1">
      <c r="A19" s="286" t="s">
        <v>8</v>
      </c>
      <c r="B19" s="293">
        <v>1721</v>
      </c>
      <c r="C19" s="293">
        <f>B19*35</f>
        <v>60235</v>
      </c>
      <c r="D19" s="293">
        <v>107</v>
      </c>
      <c r="E19" s="293">
        <f t="shared" si="0"/>
        <v>32100</v>
      </c>
      <c r="F19" s="293">
        <v>2299</v>
      </c>
      <c r="G19" s="293">
        <f t="shared" si="1"/>
        <v>68970</v>
      </c>
      <c r="H19" s="294">
        <v>6922</v>
      </c>
      <c r="I19" s="294">
        <f>H19*16</f>
        <v>110752</v>
      </c>
      <c r="J19" s="293">
        <v>1200</v>
      </c>
      <c r="K19" s="293">
        <f t="shared" si="3"/>
        <v>20400</v>
      </c>
      <c r="L19" s="288" t="s">
        <v>18</v>
      </c>
      <c r="M19" s="292"/>
    </row>
    <row r="20" spans="1:13" s="167" customFormat="1" ht="15" customHeight="1">
      <c r="A20" s="332" t="s">
        <v>9</v>
      </c>
      <c r="B20" s="334">
        <v>709</v>
      </c>
      <c r="C20" s="334">
        <f t="shared" si="4"/>
        <v>33323</v>
      </c>
      <c r="D20" s="334">
        <v>401</v>
      </c>
      <c r="E20" s="334">
        <f t="shared" si="0"/>
        <v>120300</v>
      </c>
      <c r="F20" s="334">
        <v>705</v>
      </c>
      <c r="G20" s="334">
        <f t="shared" si="1"/>
        <v>21150</v>
      </c>
      <c r="H20" s="335">
        <v>1809</v>
      </c>
      <c r="I20" s="335">
        <f t="shared" si="2"/>
        <v>18090</v>
      </c>
      <c r="J20" s="334">
        <v>412</v>
      </c>
      <c r="K20" s="334">
        <f t="shared" si="3"/>
        <v>7004</v>
      </c>
      <c r="L20" s="337" t="s">
        <v>19</v>
      </c>
      <c r="M20" s="292"/>
    </row>
    <row r="21" spans="1:13" s="167" customFormat="1" ht="15" customHeight="1">
      <c r="A21" s="286" t="s">
        <v>10</v>
      </c>
      <c r="B21" s="293">
        <v>75</v>
      </c>
      <c r="C21" s="293">
        <f t="shared" si="4"/>
        <v>3525</v>
      </c>
      <c r="D21" s="293">
        <v>722</v>
      </c>
      <c r="E21" s="293">
        <f t="shared" si="0"/>
        <v>216600</v>
      </c>
      <c r="F21" s="293">
        <v>310</v>
      </c>
      <c r="G21" s="293">
        <f t="shared" si="1"/>
        <v>9300</v>
      </c>
      <c r="H21" s="294">
        <v>3117</v>
      </c>
      <c r="I21" s="294">
        <f t="shared" si="2"/>
        <v>31170</v>
      </c>
      <c r="J21" s="293">
        <v>842</v>
      </c>
      <c r="K21" s="293">
        <f t="shared" si="3"/>
        <v>14314</v>
      </c>
      <c r="L21" s="288" t="s">
        <v>20</v>
      </c>
      <c r="M21" s="292"/>
    </row>
    <row r="22" spans="1:13" s="167" customFormat="1" ht="12.75" customHeight="1">
      <c r="A22" s="332" t="s">
        <v>12</v>
      </c>
      <c r="B22" s="334">
        <v>1196</v>
      </c>
      <c r="C22" s="334">
        <f t="shared" si="4"/>
        <v>56212</v>
      </c>
      <c r="D22" s="334">
        <v>246</v>
      </c>
      <c r="E22" s="334">
        <f t="shared" si="0"/>
        <v>73800</v>
      </c>
      <c r="F22" s="334">
        <v>6449</v>
      </c>
      <c r="G22" s="334">
        <f t="shared" si="1"/>
        <v>193470</v>
      </c>
      <c r="H22" s="335">
        <v>18803</v>
      </c>
      <c r="I22" s="335">
        <f t="shared" si="2"/>
        <v>188030</v>
      </c>
      <c r="J22" s="334">
        <v>3032</v>
      </c>
      <c r="K22" s="334">
        <f t="shared" si="3"/>
        <v>51544</v>
      </c>
      <c r="L22" s="336" t="s">
        <v>24</v>
      </c>
      <c r="M22" s="292"/>
    </row>
    <row r="23" spans="1:13" s="167" customFormat="1" ht="16.5" customHeight="1" thickBot="1">
      <c r="A23" s="474" t="s">
        <v>13</v>
      </c>
      <c r="B23" s="483">
        <v>1295</v>
      </c>
      <c r="C23" s="293">
        <f>B23*40</f>
        <v>51800</v>
      </c>
      <c r="D23" s="483">
        <v>122</v>
      </c>
      <c r="E23" s="293">
        <f t="shared" si="0"/>
        <v>36600</v>
      </c>
      <c r="F23" s="483">
        <v>994</v>
      </c>
      <c r="G23" s="293">
        <f t="shared" si="1"/>
        <v>29820</v>
      </c>
      <c r="H23" s="484">
        <v>2267</v>
      </c>
      <c r="I23" s="294">
        <f t="shared" si="2"/>
        <v>22670</v>
      </c>
      <c r="J23" s="483">
        <v>457</v>
      </c>
      <c r="K23" s="293">
        <f t="shared" si="3"/>
        <v>7769</v>
      </c>
      <c r="L23" s="481" t="s">
        <v>22</v>
      </c>
      <c r="M23" s="292"/>
    </row>
    <row r="24" spans="1:13" s="240" customFormat="1" ht="17.25" customHeight="1" thickBot="1">
      <c r="A24" s="296" t="s">
        <v>0</v>
      </c>
      <c r="B24" s="297">
        <f>SUM(B9:B23)</f>
        <v>25780</v>
      </c>
      <c r="C24" s="297">
        <f t="shared" ref="C24:K24" si="5">SUM(C9:C23)</f>
        <v>1128527</v>
      </c>
      <c r="D24" s="297">
        <f t="shared" si="5"/>
        <v>12658</v>
      </c>
      <c r="E24" s="297">
        <f t="shared" si="5"/>
        <v>3395000</v>
      </c>
      <c r="F24" s="297">
        <f t="shared" si="5"/>
        <v>31733</v>
      </c>
      <c r="G24" s="297">
        <f t="shared" si="5"/>
        <v>955920</v>
      </c>
      <c r="H24" s="297">
        <f t="shared" si="5"/>
        <v>76594</v>
      </c>
      <c r="I24" s="297">
        <f t="shared" si="5"/>
        <v>949513</v>
      </c>
      <c r="J24" s="297">
        <f t="shared" si="5"/>
        <v>25860</v>
      </c>
      <c r="K24" s="297">
        <f t="shared" si="5"/>
        <v>439620</v>
      </c>
      <c r="L24" s="298" t="s">
        <v>1</v>
      </c>
    </row>
    <row r="25" spans="1:13" s="4" customFormat="1" ht="17.25" customHeight="1">
      <c r="A25" s="891"/>
      <c r="B25" s="891"/>
      <c r="C25" s="891"/>
      <c r="D25" s="891"/>
      <c r="E25" s="891"/>
      <c r="F25" s="891"/>
      <c r="G25" s="891"/>
      <c r="H25" s="891"/>
      <c r="I25" s="601"/>
      <c r="J25" s="601"/>
      <c r="K25" s="131"/>
      <c r="L25" s="132"/>
    </row>
    <row r="26" spans="1:13" ht="14.25">
      <c r="A26" s="593"/>
      <c r="B26" s="593"/>
      <c r="C26" s="593"/>
      <c r="D26" s="593"/>
      <c r="E26" s="593"/>
      <c r="F26" s="593"/>
      <c r="G26" s="593"/>
      <c r="H26" s="593"/>
      <c r="I26" s="593"/>
      <c r="J26" s="593"/>
      <c r="L26" s="128"/>
    </row>
    <row r="27" spans="1:13" ht="15">
      <c r="A27" s="912"/>
      <c r="B27" s="912"/>
      <c r="C27" s="593"/>
      <c r="D27" s="593"/>
      <c r="E27" s="593"/>
      <c r="F27" s="593"/>
      <c r="G27" s="593"/>
      <c r="H27" s="593"/>
      <c r="I27" s="593"/>
      <c r="J27" s="593"/>
      <c r="L27" s="34"/>
    </row>
  </sheetData>
  <mergeCells count="14">
    <mergeCell ref="A25:H25"/>
    <mergeCell ref="K3:L3"/>
    <mergeCell ref="A27:B27"/>
    <mergeCell ref="B6:C6"/>
    <mergeCell ref="D6:E6"/>
    <mergeCell ref="F6:G6"/>
    <mergeCell ref="F5:G5"/>
    <mergeCell ref="A1:L1"/>
    <mergeCell ref="A2:L2"/>
    <mergeCell ref="B5:C5"/>
    <mergeCell ref="A4:B4"/>
    <mergeCell ref="H4:K4"/>
    <mergeCell ref="C4:E4"/>
    <mergeCell ref="D5:E5"/>
  </mergeCells>
  <phoneticPr fontId="3" type="noConversion"/>
  <printOptions horizontalCentered="1" verticalCentered="1"/>
  <pageMargins left="0.23622047244094491" right="0.23" top="1.3779527559055118" bottom="1.8110236220472442" header="0.19685039370078741" footer="0.78740157480314965"/>
  <pageSetup paperSize="9" scale="90" orientation="landscape" r:id="rId1"/>
  <headerFooter alignWithMargins="0"/>
  <ignoredErrors>
    <ignoredError sqref="C10 C13 C16 C18 E13 G17 I11 I15 I18" 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K60"/>
  <sheetViews>
    <sheetView rightToLeft="1" zoomScale="80" zoomScaleNormal="80" zoomScaleSheetLayoutView="100" workbookViewId="0">
      <selection activeCell="A4" sqref="A4:B4"/>
    </sheetView>
  </sheetViews>
  <sheetFormatPr defaultRowHeight="12.75"/>
  <cols>
    <col min="1" max="1" width="10.85546875" customWidth="1"/>
    <col min="2" max="2" width="13.85546875" customWidth="1"/>
    <col min="3" max="3" width="12.7109375" customWidth="1"/>
    <col min="4" max="4" width="12" customWidth="1"/>
    <col min="5" max="5" width="13.140625" bestFit="1" customWidth="1"/>
    <col min="6" max="6" width="11.140625" customWidth="1"/>
    <col min="7" max="7" width="12" customWidth="1"/>
    <col min="8" max="8" width="10.28515625" customWidth="1"/>
    <col min="9" max="9" width="10.140625" bestFit="1" customWidth="1"/>
    <col min="10" max="10" width="16.5703125" customWidth="1"/>
    <col min="11" max="11" width="20" customWidth="1"/>
  </cols>
  <sheetData>
    <row r="1" spans="1:11" ht="15">
      <c r="A1" s="942" t="s">
        <v>466</v>
      </c>
      <c r="B1" s="942"/>
      <c r="C1" s="942"/>
      <c r="D1" s="942"/>
      <c r="E1" s="942"/>
      <c r="F1" s="942"/>
      <c r="G1" s="942"/>
      <c r="H1" s="942"/>
      <c r="I1" s="942"/>
      <c r="J1" s="942"/>
    </row>
    <row r="2" spans="1:11" s="4" customFormat="1" ht="15">
      <c r="A2" s="921" t="s">
        <v>386</v>
      </c>
      <c r="B2" s="921"/>
      <c r="C2" s="921"/>
      <c r="D2" s="921"/>
      <c r="E2" s="921"/>
      <c r="F2" s="921"/>
      <c r="G2" s="921"/>
      <c r="H2" s="921"/>
      <c r="I2" s="921"/>
      <c r="J2" s="921"/>
    </row>
    <row r="3" spans="1:11" ht="15">
      <c r="I3" s="899" t="s">
        <v>194</v>
      </c>
      <c r="J3" s="899"/>
    </row>
    <row r="4" spans="1:11" ht="21" customHeight="1" thickBot="1">
      <c r="A4" s="866" t="s">
        <v>456</v>
      </c>
      <c r="B4" s="866"/>
      <c r="C4" s="944" t="s">
        <v>183</v>
      </c>
      <c r="D4" s="944"/>
      <c r="E4" s="944"/>
      <c r="F4" s="11"/>
      <c r="G4" s="11"/>
      <c r="H4" s="943"/>
      <c r="I4" s="943"/>
      <c r="J4" s="151" t="s">
        <v>461</v>
      </c>
    </row>
    <row r="5" spans="1:11" ht="29.25" customHeight="1">
      <c r="A5" s="104"/>
      <c r="B5" s="106" t="s">
        <v>31</v>
      </c>
      <c r="C5" s="104"/>
      <c r="D5" s="106" t="s">
        <v>54</v>
      </c>
      <c r="E5" s="104"/>
      <c r="F5" s="945" t="s">
        <v>38</v>
      </c>
      <c r="G5" s="945"/>
      <c r="H5" s="106" t="s">
        <v>357</v>
      </c>
      <c r="I5" s="104"/>
      <c r="J5" s="105"/>
    </row>
    <row r="6" spans="1:11" ht="27" customHeight="1">
      <c r="A6" s="84"/>
      <c r="B6" s="84" t="s">
        <v>267</v>
      </c>
      <c r="C6" s="84"/>
      <c r="D6" s="84" t="s">
        <v>273</v>
      </c>
      <c r="E6" s="84"/>
      <c r="F6" s="847" t="s">
        <v>306</v>
      </c>
      <c r="G6" s="847"/>
      <c r="H6" s="84" t="s">
        <v>158</v>
      </c>
      <c r="I6" s="84"/>
      <c r="J6" s="103"/>
    </row>
    <row r="7" spans="1:11" ht="15" customHeight="1">
      <c r="A7" s="220"/>
      <c r="B7" s="221" t="s">
        <v>39</v>
      </c>
      <c r="C7" s="221" t="s">
        <v>216</v>
      </c>
      <c r="D7" s="221" t="s">
        <v>39</v>
      </c>
      <c r="E7" s="221" t="s">
        <v>216</v>
      </c>
      <c r="F7" s="221" t="s">
        <v>39</v>
      </c>
      <c r="G7" s="221" t="s">
        <v>216</v>
      </c>
      <c r="H7" s="221" t="s">
        <v>64</v>
      </c>
      <c r="I7" s="221" t="s">
        <v>216</v>
      </c>
      <c r="J7" s="41"/>
    </row>
    <row r="8" spans="1:11" s="485" customFormat="1" ht="15" customHeight="1" thickBot="1">
      <c r="A8" s="486" t="s">
        <v>51</v>
      </c>
      <c r="B8" s="487" t="s">
        <v>40</v>
      </c>
      <c r="C8" s="487" t="s">
        <v>28</v>
      </c>
      <c r="D8" s="487" t="s">
        <v>40</v>
      </c>
      <c r="E8" s="487" t="s">
        <v>28</v>
      </c>
      <c r="F8" s="487" t="s">
        <v>40</v>
      </c>
      <c r="G8" s="487" t="s">
        <v>28</v>
      </c>
      <c r="H8" s="487" t="s">
        <v>178</v>
      </c>
      <c r="I8" s="487" t="s">
        <v>28</v>
      </c>
      <c r="J8" s="487" t="s">
        <v>25</v>
      </c>
    </row>
    <row r="9" spans="1:11" s="240" customFormat="1" ht="15" customHeight="1" thickTop="1">
      <c r="A9" s="299" t="s">
        <v>329</v>
      </c>
      <c r="B9" s="293">
        <v>59746</v>
      </c>
      <c r="C9" s="293">
        <f>B9*4</f>
        <v>238984</v>
      </c>
      <c r="D9" s="293">
        <v>0</v>
      </c>
      <c r="E9" s="293">
        <v>0</v>
      </c>
      <c r="F9" s="293">
        <v>973</v>
      </c>
      <c r="G9" s="293">
        <f>F9*9</f>
        <v>8757</v>
      </c>
      <c r="H9" s="294">
        <v>3809</v>
      </c>
      <c r="I9" s="294">
        <v>505510</v>
      </c>
      <c r="J9" s="300" t="s">
        <v>379</v>
      </c>
      <c r="K9" s="305"/>
    </row>
    <row r="10" spans="1:11" s="167" customFormat="1" ht="15" customHeight="1">
      <c r="A10" s="338" t="s">
        <v>29</v>
      </c>
      <c r="B10" s="334">
        <v>128504</v>
      </c>
      <c r="C10" s="334">
        <f t="shared" ref="C10:C23" si="0">B10*4</f>
        <v>514016</v>
      </c>
      <c r="D10" s="334">
        <v>3891</v>
      </c>
      <c r="E10" s="334">
        <f>D10*41</f>
        <v>159531</v>
      </c>
      <c r="F10" s="334">
        <v>2934</v>
      </c>
      <c r="G10" s="334">
        <f>F10*5</f>
        <v>14670</v>
      </c>
      <c r="H10" s="335">
        <v>0</v>
      </c>
      <c r="I10" s="335">
        <v>0</v>
      </c>
      <c r="J10" s="339" t="s">
        <v>30</v>
      </c>
      <c r="K10" s="292"/>
    </row>
    <row r="11" spans="1:11" s="167" customFormat="1" ht="15" customHeight="1">
      <c r="A11" s="299" t="s">
        <v>3</v>
      </c>
      <c r="B11" s="293">
        <v>205840</v>
      </c>
      <c r="C11" s="293">
        <f>B11*3</f>
        <v>617520</v>
      </c>
      <c r="D11" s="293">
        <v>2960</v>
      </c>
      <c r="E11" s="293">
        <f>D11*30</f>
        <v>88800</v>
      </c>
      <c r="F11" s="293">
        <v>7655</v>
      </c>
      <c r="G11" s="293">
        <f>F11*4</f>
        <v>30620</v>
      </c>
      <c r="H11" s="294">
        <v>0</v>
      </c>
      <c r="I11" s="294">
        <v>0</v>
      </c>
      <c r="J11" s="300" t="s">
        <v>15</v>
      </c>
      <c r="K11" s="292"/>
    </row>
    <row r="12" spans="1:11" s="167" customFormat="1" ht="15" customHeight="1">
      <c r="A12" s="340" t="s">
        <v>320</v>
      </c>
      <c r="B12" s="334">
        <v>184945</v>
      </c>
      <c r="C12" s="334">
        <f t="shared" si="0"/>
        <v>739780</v>
      </c>
      <c r="D12" s="334">
        <v>778</v>
      </c>
      <c r="E12" s="334">
        <v>47608</v>
      </c>
      <c r="F12" s="334">
        <v>0</v>
      </c>
      <c r="G12" s="334">
        <v>0</v>
      </c>
      <c r="H12" s="335">
        <v>0</v>
      </c>
      <c r="I12" s="335">
        <v>0</v>
      </c>
      <c r="J12" s="339" t="s">
        <v>316</v>
      </c>
      <c r="K12" s="292"/>
    </row>
    <row r="13" spans="1:11" s="167" customFormat="1" ht="15" customHeight="1">
      <c r="A13" s="299" t="s">
        <v>4</v>
      </c>
      <c r="B13" s="293">
        <v>307063</v>
      </c>
      <c r="C13" s="293">
        <f>B13*3</f>
        <v>921189</v>
      </c>
      <c r="D13" s="293">
        <v>17827</v>
      </c>
      <c r="E13" s="293">
        <f>D13*40</f>
        <v>713080</v>
      </c>
      <c r="F13" s="293">
        <v>18054</v>
      </c>
      <c r="G13" s="293">
        <f>F13*5</f>
        <v>90270</v>
      </c>
      <c r="H13" s="294">
        <v>0</v>
      </c>
      <c r="I13" s="294">
        <v>0</v>
      </c>
      <c r="J13" s="300" t="s">
        <v>16</v>
      </c>
      <c r="K13" s="292"/>
    </row>
    <row r="14" spans="1:11" s="167" customFormat="1" ht="15" customHeight="1">
      <c r="A14" s="338" t="s">
        <v>5</v>
      </c>
      <c r="B14" s="334">
        <v>216642</v>
      </c>
      <c r="C14" s="334">
        <f t="shared" si="0"/>
        <v>866568</v>
      </c>
      <c r="D14" s="334">
        <v>0</v>
      </c>
      <c r="E14" s="334">
        <v>0</v>
      </c>
      <c r="F14" s="334">
        <v>5991</v>
      </c>
      <c r="G14" s="334">
        <f>F14*5</f>
        <v>29955</v>
      </c>
      <c r="H14" s="335">
        <v>0</v>
      </c>
      <c r="I14" s="335">
        <v>0</v>
      </c>
      <c r="J14" s="339" t="s">
        <v>23</v>
      </c>
      <c r="K14" s="292"/>
    </row>
    <row r="15" spans="1:11" s="167" customFormat="1" ht="15" customHeight="1">
      <c r="A15" s="299" t="s">
        <v>6</v>
      </c>
      <c r="B15" s="293">
        <v>216371</v>
      </c>
      <c r="C15" s="293">
        <f t="shared" si="0"/>
        <v>865484</v>
      </c>
      <c r="D15" s="293">
        <v>0</v>
      </c>
      <c r="E15" s="293">
        <v>0</v>
      </c>
      <c r="F15" s="293">
        <v>20738</v>
      </c>
      <c r="G15" s="293">
        <f>F15*7</f>
        <v>145166</v>
      </c>
      <c r="H15" s="294">
        <v>0</v>
      </c>
      <c r="I15" s="294">
        <v>0</v>
      </c>
      <c r="J15" s="300" t="s">
        <v>380</v>
      </c>
      <c r="K15" s="292"/>
    </row>
    <row r="16" spans="1:11" s="167" customFormat="1" ht="15" customHeight="1">
      <c r="A16" s="338" t="s">
        <v>11</v>
      </c>
      <c r="B16" s="334">
        <v>194933</v>
      </c>
      <c r="C16" s="334">
        <f>B16*3</f>
        <v>584799</v>
      </c>
      <c r="D16" s="334">
        <v>0</v>
      </c>
      <c r="E16" s="334">
        <v>0</v>
      </c>
      <c r="F16" s="334">
        <v>11556</v>
      </c>
      <c r="G16" s="334">
        <f>F16*2</f>
        <v>23112</v>
      </c>
      <c r="H16" s="335">
        <v>0</v>
      </c>
      <c r="I16" s="335">
        <v>0</v>
      </c>
      <c r="J16" s="339" t="s">
        <v>21</v>
      </c>
      <c r="K16" s="292"/>
    </row>
    <row r="17" spans="1:11" s="167" customFormat="1" ht="15" customHeight="1">
      <c r="A17" s="299" t="s">
        <v>2</v>
      </c>
      <c r="B17" s="293">
        <v>64342</v>
      </c>
      <c r="C17" s="293">
        <f t="shared" si="0"/>
        <v>257368</v>
      </c>
      <c r="D17" s="293">
        <v>0</v>
      </c>
      <c r="E17" s="293">
        <v>0</v>
      </c>
      <c r="F17" s="293">
        <v>1902</v>
      </c>
      <c r="G17" s="293">
        <f>F17*6</f>
        <v>11412</v>
      </c>
      <c r="H17" s="294">
        <v>0</v>
      </c>
      <c r="I17" s="294">
        <v>0</v>
      </c>
      <c r="J17" s="300" t="s">
        <v>14</v>
      </c>
      <c r="K17" s="292"/>
    </row>
    <row r="18" spans="1:11" s="167" customFormat="1" ht="15" customHeight="1">
      <c r="A18" s="338" t="s">
        <v>7</v>
      </c>
      <c r="B18" s="334">
        <v>207323</v>
      </c>
      <c r="C18" s="785">
        <f t="shared" si="0"/>
        <v>829292</v>
      </c>
      <c r="D18" s="334">
        <v>3005</v>
      </c>
      <c r="E18" s="334">
        <f>D18*40</f>
        <v>120200</v>
      </c>
      <c r="F18" s="334">
        <v>18304</v>
      </c>
      <c r="G18" s="334">
        <f>F18*6</f>
        <v>109824</v>
      </c>
      <c r="H18" s="335">
        <v>0</v>
      </c>
      <c r="I18" s="335">
        <v>0</v>
      </c>
      <c r="J18" s="339" t="s">
        <v>17</v>
      </c>
      <c r="K18" s="292"/>
    </row>
    <row r="19" spans="1:11" s="167" customFormat="1" ht="15" customHeight="1">
      <c r="A19" s="299" t="s">
        <v>8</v>
      </c>
      <c r="B19" s="293">
        <v>303624</v>
      </c>
      <c r="C19" s="293">
        <f t="shared" si="0"/>
        <v>1214496</v>
      </c>
      <c r="D19" s="293">
        <v>3252</v>
      </c>
      <c r="E19" s="293">
        <f>D19*44</f>
        <v>143088</v>
      </c>
      <c r="F19" s="293">
        <v>33874</v>
      </c>
      <c r="G19" s="293">
        <f>F19*2</f>
        <v>67748</v>
      </c>
      <c r="H19" s="294">
        <v>3481</v>
      </c>
      <c r="I19" s="294">
        <f>H19*135</f>
        <v>469935</v>
      </c>
      <c r="J19" s="300" t="s">
        <v>18</v>
      </c>
      <c r="K19" s="292"/>
    </row>
    <row r="20" spans="1:11" s="167" customFormat="1" ht="15" customHeight="1">
      <c r="A20" s="338" t="s">
        <v>9</v>
      </c>
      <c r="B20" s="334">
        <v>174166</v>
      </c>
      <c r="C20" s="334">
        <f>B20*3</f>
        <v>522498</v>
      </c>
      <c r="D20" s="334">
        <v>0</v>
      </c>
      <c r="E20" s="334">
        <v>0</v>
      </c>
      <c r="F20" s="334">
        <v>2004</v>
      </c>
      <c r="G20" s="334">
        <f>F20*3</f>
        <v>6012</v>
      </c>
      <c r="H20" s="335">
        <v>0</v>
      </c>
      <c r="I20" s="335">
        <v>0</v>
      </c>
      <c r="J20" s="339" t="s">
        <v>19</v>
      </c>
      <c r="K20" s="292"/>
    </row>
    <row r="21" spans="1:11" s="167" customFormat="1" ht="15" customHeight="1">
      <c r="A21" s="299" t="s">
        <v>10</v>
      </c>
      <c r="B21" s="293">
        <v>199964</v>
      </c>
      <c r="C21" s="293">
        <f t="shared" si="0"/>
        <v>799856</v>
      </c>
      <c r="D21" s="293">
        <v>0</v>
      </c>
      <c r="E21" s="293">
        <v>0</v>
      </c>
      <c r="F21" s="293">
        <v>59772</v>
      </c>
      <c r="G21" s="293">
        <f>F21*3</f>
        <v>179316</v>
      </c>
      <c r="H21" s="294">
        <v>0</v>
      </c>
      <c r="I21" s="294">
        <v>0</v>
      </c>
      <c r="J21" s="300" t="s">
        <v>20</v>
      </c>
      <c r="K21" s="292"/>
    </row>
    <row r="22" spans="1:11" s="167" customFormat="1" ht="15" customHeight="1">
      <c r="A22" s="338" t="s">
        <v>12</v>
      </c>
      <c r="B22" s="334">
        <v>90643</v>
      </c>
      <c r="C22" s="334">
        <f t="shared" si="0"/>
        <v>362572</v>
      </c>
      <c r="D22" s="334">
        <v>0</v>
      </c>
      <c r="E22" s="334">
        <v>0</v>
      </c>
      <c r="F22" s="334">
        <v>35197</v>
      </c>
      <c r="G22" s="334">
        <f>F22*2.5</f>
        <v>87992.5</v>
      </c>
      <c r="H22" s="335">
        <v>0</v>
      </c>
      <c r="I22" s="335">
        <v>0</v>
      </c>
      <c r="J22" s="339" t="s">
        <v>24</v>
      </c>
      <c r="K22" s="292"/>
    </row>
    <row r="23" spans="1:11" s="167" customFormat="1" ht="15" customHeight="1" thickBot="1">
      <c r="A23" s="299" t="s">
        <v>13</v>
      </c>
      <c r="B23" s="293">
        <v>127494</v>
      </c>
      <c r="C23" s="293">
        <f t="shared" si="0"/>
        <v>509976</v>
      </c>
      <c r="D23" s="293">
        <v>3297</v>
      </c>
      <c r="E23" s="293">
        <f>D23*35</f>
        <v>115395</v>
      </c>
      <c r="F23" s="293">
        <v>5764</v>
      </c>
      <c r="G23" s="293">
        <f>F23*4</f>
        <v>23056</v>
      </c>
      <c r="H23" s="294">
        <v>0</v>
      </c>
      <c r="I23" s="294">
        <v>0</v>
      </c>
      <c r="J23" s="301" t="s">
        <v>22</v>
      </c>
      <c r="K23" s="292"/>
    </row>
    <row r="24" spans="1:11" s="167" customFormat="1" ht="15.75" customHeight="1" thickBot="1">
      <c r="A24" s="302" t="s">
        <v>0</v>
      </c>
      <c r="B24" s="303">
        <f>SUM(B9:B23)</f>
        <v>2681600</v>
      </c>
      <c r="C24" s="303">
        <f t="shared" ref="C24:I24" si="1">SUM(C9:C23)</f>
        <v>9844398</v>
      </c>
      <c r="D24" s="303">
        <f t="shared" si="1"/>
        <v>35010</v>
      </c>
      <c r="E24" s="303">
        <f t="shared" si="1"/>
        <v>1387702</v>
      </c>
      <c r="F24" s="303">
        <f t="shared" si="1"/>
        <v>224718</v>
      </c>
      <c r="G24" s="303">
        <f t="shared" si="1"/>
        <v>827910.5</v>
      </c>
      <c r="H24" s="303">
        <f t="shared" si="1"/>
        <v>7290</v>
      </c>
      <c r="I24" s="303">
        <f t="shared" si="1"/>
        <v>975445</v>
      </c>
      <c r="J24" s="304" t="s">
        <v>1</v>
      </c>
    </row>
    <row r="25" spans="1:11" s="4" customFormat="1" ht="15.75" customHeight="1" thickTop="1">
      <c r="A25" s="891"/>
      <c r="B25" s="891"/>
      <c r="C25" s="891"/>
      <c r="D25" s="891"/>
      <c r="E25" s="891"/>
      <c r="F25" s="891"/>
      <c r="G25" s="891"/>
      <c r="H25" s="891"/>
      <c r="I25" s="601"/>
      <c r="J25" s="602"/>
    </row>
    <row r="26" spans="1:11" ht="14.25">
      <c r="A26" s="593"/>
      <c r="B26" s="593"/>
      <c r="C26" s="593"/>
      <c r="D26" s="593"/>
      <c r="E26" s="593"/>
      <c r="F26" s="593"/>
      <c r="G26" s="593"/>
      <c r="H26" s="593"/>
      <c r="I26" s="593"/>
      <c r="J26" s="596"/>
    </row>
    <row r="27" spans="1:11" ht="15">
      <c r="A27" s="941"/>
      <c r="B27" s="941"/>
      <c r="C27" s="603"/>
      <c r="D27" s="603"/>
      <c r="E27" s="603"/>
      <c r="F27" s="603"/>
      <c r="G27" s="603"/>
      <c r="H27" s="603"/>
      <c r="I27" s="913"/>
      <c r="J27" s="913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1">
      <c r="A29" s="2"/>
      <c r="B29" s="2"/>
      <c r="C29" s="2"/>
      <c r="D29" s="2"/>
      <c r="E29" s="416"/>
      <c r="F29" s="2"/>
      <c r="G29" s="2"/>
      <c r="H29" s="2"/>
      <c r="I29" s="2"/>
      <c r="J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47" spans="1:10">
      <c r="B47" s="3"/>
      <c r="E47" s="3"/>
    </row>
    <row r="48" spans="1:10">
      <c r="B48" s="3"/>
      <c r="E48" s="3"/>
    </row>
    <row r="49" spans="2:5">
      <c r="B49" s="3"/>
      <c r="E49" s="3"/>
    </row>
    <row r="50" spans="2:5">
      <c r="B50" s="3"/>
      <c r="E50" s="3"/>
    </row>
    <row r="51" spans="2:5">
      <c r="B51" s="3"/>
      <c r="E51" s="3"/>
    </row>
    <row r="52" spans="2:5">
      <c r="B52" s="3"/>
      <c r="E52" s="3"/>
    </row>
    <row r="53" spans="2:5">
      <c r="B53" s="3"/>
      <c r="E53" s="3"/>
    </row>
    <row r="54" spans="2:5">
      <c r="B54" s="3"/>
      <c r="E54" s="3"/>
    </row>
    <row r="55" spans="2:5">
      <c r="B55" s="3"/>
      <c r="E55" s="3"/>
    </row>
    <row r="56" spans="2:5">
      <c r="B56" s="3"/>
      <c r="E56" s="3"/>
    </row>
    <row r="57" spans="2:5">
      <c r="B57" s="3"/>
      <c r="E57" s="3"/>
    </row>
    <row r="58" spans="2:5">
      <c r="B58" s="3"/>
      <c r="E58" s="3"/>
    </row>
    <row r="59" spans="2:5">
      <c r="B59" s="3"/>
      <c r="E59" s="3"/>
    </row>
    <row r="60" spans="2:5">
      <c r="B60" s="3"/>
      <c r="E60" s="3"/>
    </row>
  </sheetData>
  <mergeCells count="11">
    <mergeCell ref="I3:J3"/>
    <mergeCell ref="A27:B27"/>
    <mergeCell ref="I27:J27"/>
    <mergeCell ref="A1:J1"/>
    <mergeCell ref="A2:J2"/>
    <mergeCell ref="H4:I4"/>
    <mergeCell ref="C4:E4"/>
    <mergeCell ref="A4:B4"/>
    <mergeCell ref="F6:G6"/>
    <mergeCell ref="F5:G5"/>
    <mergeCell ref="A25:H25"/>
  </mergeCells>
  <phoneticPr fontId="3" type="noConversion"/>
  <printOptions horizontalCentered="1" verticalCentered="1"/>
  <pageMargins left="0.23622047244094491" right="0.25" top="1.3779527559055118" bottom="1.8110236220472442" header="0.19685039370078741" footer="0.78740157480314965"/>
  <pageSetup paperSize="9" scale="90" orientation="landscape" r:id="rId1"/>
  <headerFooter alignWithMargins="0"/>
  <ignoredErrors>
    <ignoredError sqref="C11:C13 C16 C20" 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K27"/>
  <sheetViews>
    <sheetView rightToLeft="1" zoomScale="80" zoomScaleNormal="80" zoomScaleSheetLayoutView="91" workbookViewId="0">
      <selection activeCell="A4" sqref="A4:B4"/>
    </sheetView>
  </sheetViews>
  <sheetFormatPr defaultRowHeight="12.75"/>
  <cols>
    <col min="1" max="1" width="10.5703125" customWidth="1"/>
    <col min="2" max="2" width="10.140625" bestFit="1" customWidth="1"/>
    <col min="3" max="3" width="12.5703125" customWidth="1"/>
    <col min="4" max="4" width="10.140625" bestFit="1" customWidth="1"/>
    <col min="5" max="5" width="14.28515625" bestFit="1" customWidth="1"/>
    <col min="6" max="6" width="10.140625" bestFit="1" customWidth="1"/>
    <col min="7" max="7" width="15.28515625" customWidth="1"/>
    <col min="8" max="8" width="14" customWidth="1"/>
    <col min="9" max="9" width="16.28515625" customWidth="1"/>
    <col min="10" max="10" width="7.42578125" customWidth="1"/>
    <col min="11" max="11" width="8.140625" customWidth="1"/>
  </cols>
  <sheetData>
    <row r="1" spans="1:10" ht="15" customHeight="1">
      <c r="A1" s="946" t="s">
        <v>466</v>
      </c>
      <c r="B1" s="946"/>
      <c r="C1" s="946"/>
      <c r="D1" s="946"/>
      <c r="E1" s="946"/>
      <c r="F1" s="946"/>
      <c r="G1" s="946"/>
      <c r="H1" s="946"/>
      <c r="I1" s="946"/>
    </row>
    <row r="2" spans="1:10" ht="12.75" customHeight="1">
      <c r="A2" s="947" t="s">
        <v>385</v>
      </c>
      <c r="B2" s="947"/>
      <c r="C2" s="947"/>
      <c r="D2" s="947"/>
      <c r="E2" s="947"/>
      <c r="F2" s="947"/>
      <c r="G2" s="947"/>
      <c r="H2" s="947"/>
      <c r="I2" s="947"/>
    </row>
    <row r="3" spans="1:10" s="4" customFormat="1" ht="12.75" customHeight="1">
      <c r="A3" s="144"/>
      <c r="B3" s="144"/>
      <c r="C3" s="144"/>
      <c r="D3" s="144"/>
      <c r="E3" s="144"/>
      <c r="F3" s="144"/>
      <c r="G3" s="144"/>
      <c r="H3" s="899" t="s">
        <v>194</v>
      </c>
      <c r="I3" s="899"/>
    </row>
    <row r="4" spans="1:10" ht="17.25" customHeight="1" thickBot="1">
      <c r="A4" s="866" t="s">
        <v>456</v>
      </c>
      <c r="B4" s="866"/>
      <c r="C4" s="948" t="s">
        <v>162</v>
      </c>
      <c r="D4" s="948"/>
      <c r="E4" s="107"/>
      <c r="F4" s="929" t="s">
        <v>305</v>
      </c>
      <c r="G4" s="929"/>
      <c r="H4" s="929"/>
      <c r="I4" s="108" t="s">
        <v>461</v>
      </c>
    </row>
    <row r="5" spans="1:10" ht="15" customHeight="1">
      <c r="A5" s="23"/>
      <c r="B5" s="118" t="s">
        <v>32</v>
      </c>
      <c r="C5" s="117"/>
      <c r="D5" s="949" t="s">
        <v>33</v>
      </c>
      <c r="E5" s="949"/>
      <c r="F5" s="949" t="s">
        <v>53</v>
      </c>
      <c r="G5" s="949"/>
      <c r="H5" s="408" t="s">
        <v>369</v>
      </c>
      <c r="I5" s="23"/>
    </row>
    <row r="6" spans="1:10" ht="15" customHeight="1">
      <c r="A6" s="26"/>
      <c r="B6" s="109" t="s">
        <v>240</v>
      </c>
      <c r="C6" s="109"/>
      <c r="D6" s="950" t="s">
        <v>274</v>
      </c>
      <c r="E6" s="950"/>
      <c r="F6" s="849" t="s">
        <v>156</v>
      </c>
      <c r="G6" s="849"/>
      <c r="H6" s="407" t="s">
        <v>1</v>
      </c>
      <c r="I6" s="26"/>
    </row>
    <row r="7" spans="1:10" ht="15" customHeight="1">
      <c r="A7" s="222"/>
      <c r="B7" s="223" t="s">
        <v>26</v>
      </c>
      <c r="C7" s="224" t="s">
        <v>216</v>
      </c>
      <c r="D7" s="224" t="s">
        <v>26</v>
      </c>
      <c r="E7" s="224" t="s">
        <v>216</v>
      </c>
      <c r="F7" s="224" t="s">
        <v>26</v>
      </c>
      <c r="G7" s="224" t="s">
        <v>216</v>
      </c>
      <c r="H7" s="223" t="s">
        <v>216</v>
      </c>
      <c r="I7" s="109"/>
    </row>
    <row r="8" spans="1:10" s="2" customFormat="1" ht="15" customHeight="1" thickBot="1">
      <c r="A8" s="488" t="s">
        <v>51</v>
      </c>
      <c r="B8" s="489" t="s">
        <v>120</v>
      </c>
      <c r="C8" s="489" t="s">
        <v>28</v>
      </c>
      <c r="D8" s="489" t="s">
        <v>120</v>
      </c>
      <c r="E8" s="489" t="s">
        <v>28</v>
      </c>
      <c r="F8" s="489" t="s">
        <v>120</v>
      </c>
      <c r="G8" s="489" t="s">
        <v>28</v>
      </c>
      <c r="H8" s="489" t="s">
        <v>28</v>
      </c>
      <c r="I8" s="490" t="s">
        <v>25</v>
      </c>
    </row>
    <row r="9" spans="1:10" s="240" customFormat="1" ht="15" customHeight="1" thickTop="1">
      <c r="A9" s="338" t="s">
        <v>329</v>
      </c>
      <c r="B9" s="334">
        <v>1008</v>
      </c>
      <c r="C9" s="334">
        <f>B9*53</f>
        <v>53424</v>
      </c>
      <c r="D9" s="334">
        <v>1232</v>
      </c>
      <c r="E9" s="334">
        <f>D9*1067</f>
        <v>1314544</v>
      </c>
      <c r="F9" s="334">
        <v>1277</v>
      </c>
      <c r="G9" s="334">
        <f>F9*150</f>
        <v>191550</v>
      </c>
      <c r="H9" s="335">
        <f>ت.صحيه1!C9+ت.صحيه1!E9+ت.صحيه1!G9+ت.صحيه1!I9+ت.صحيه1!K9+ت.صحيه2!C9+ت.صحيه2!E9+ت.صحيه2!G9+ت.صحيه2!I9+ت.صحيه3!C9+ت.صحيه3!E9+ت.صحيه3!G9</f>
        <v>2440559</v>
      </c>
      <c r="I9" s="339" t="s">
        <v>379</v>
      </c>
      <c r="J9" s="305"/>
    </row>
    <row r="10" spans="1:10" s="167" customFormat="1" ht="15" customHeight="1">
      <c r="A10" s="372" t="s">
        <v>29</v>
      </c>
      <c r="B10" s="366">
        <v>1157</v>
      </c>
      <c r="C10" s="366">
        <f>B10*53</f>
        <v>61321</v>
      </c>
      <c r="D10" s="366">
        <v>1198</v>
      </c>
      <c r="E10" s="366">
        <f>D10*1060</f>
        <v>1269880</v>
      </c>
      <c r="F10" s="366">
        <v>1684</v>
      </c>
      <c r="G10" s="366">
        <f>F10*103</f>
        <v>173452</v>
      </c>
      <c r="H10" s="366">
        <f>ت.صحيه1!C10+ت.صحيه1!E10+ت.صحيه1!G10+ت.صحيه1!I10+ت.صحيه1!K10+ت.صحيه2!C10+ت.صحيه2!E10+ت.صحيه2!G10+ت.صحيه2!I10+ت.صحيه3!C10+ت.صحيه3!E10+ت.صحيه3!G10</f>
        <v>2472835</v>
      </c>
      <c r="I10" s="373" t="s">
        <v>30</v>
      </c>
      <c r="J10" s="292"/>
    </row>
    <row r="11" spans="1:10" s="167" customFormat="1" ht="15" customHeight="1">
      <c r="A11" s="338" t="s">
        <v>3</v>
      </c>
      <c r="B11" s="334">
        <v>772</v>
      </c>
      <c r="C11" s="334">
        <f>B11*53</f>
        <v>40916</v>
      </c>
      <c r="D11" s="334">
        <v>154</v>
      </c>
      <c r="E11" s="334">
        <f>D11*1050</f>
        <v>161700</v>
      </c>
      <c r="F11" s="334">
        <v>806</v>
      </c>
      <c r="G11" s="334">
        <f t="shared" ref="G11:G12" si="0">F11*150</f>
        <v>120900</v>
      </c>
      <c r="H11" s="335">
        <f>ت.صحيه1!C11+ت.صحيه1!E11+ت.صحيه1!G11+ت.صحيه1!I11+ت.صحيه1!K11+ت.صحيه2!C11+ت.صحيه2!E11+ت.صحيه2!G11+ت.صحيه2!I11+ت.صحيه3!C11+ت.صحيه3!E11+ت.صحيه3!G11</f>
        <v>1387998</v>
      </c>
      <c r="I11" s="339" t="s">
        <v>15</v>
      </c>
      <c r="J11" s="292"/>
    </row>
    <row r="12" spans="1:10" s="167" customFormat="1" ht="15" customHeight="1">
      <c r="A12" s="374" t="s">
        <v>320</v>
      </c>
      <c r="B12" s="366">
        <v>349</v>
      </c>
      <c r="C12" s="366">
        <f t="shared" ref="C12:C23" si="1">B12*51</f>
        <v>17799</v>
      </c>
      <c r="D12" s="366">
        <v>108</v>
      </c>
      <c r="E12" s="366">
        <f t="shared" ref="E12:E23" si="2">D12*1067</f>
        <v>115236</v>
      </c>
      <c r="F12" s="366">
        <v>411</v>
      </c>
      <c r="G12" s="366">
        <f t="shared" si="0"/>
        <v>61650</v>
      </c>
      <c r="H12" s="366">
        <f>ت.صحيه1!C12+ت.صحيه1!E12+ت.صحيه1!G12+ت.صحيه1!I12+ت.صحيه1!K12+ت.صحيه2!C12+ت.صحيه2!E12+ت.صحيه2!G12+ت.صحيه2!I12+ت.صحيه3!C12+ت.صحيه3!E12+ت.صحيه3!G12</f>
        <v>1092166</v>
      </c>
      <c r="I12" s="373" t="s">
        <v>316</v>
      </c>
      <c r="J12" s="292"/>
    </row>
    <row r="13" spans="1:10" s="167" customFormat="1" ht="15" customHeight="1">
      <c r="A13" s="338" t="s">
        <v>4</v>
      </c>
      <c r="B13" s="334">
        <v>3158</v>
      </c>
      <c r="C13" s="334">
        <f t="shared" si="1"/>
        <v>161058</v>
      </c>
      <c r="D13" s="334">
        <v>8524</v>
      </c>
      <c r="E13" s="334">
        <f>D13*950</f>
        <v>8097800</v>
      </c>
      <c r="F13" s="334">
        <v>17196</v>
      </c>
      <c r="G13" s="334">
        <f>F13*170</f>
        <v>2923320</v>
      </c>
      <c r="H13" s="335">
        <f>ت.صحيه1!C13+ت.صحيه1!E13+ت.صحيه1!G13+ت.صحيه1!I13+ت.صحيه1!K13+ت.صحيه2!C13+ت.صحيه2!E13+ت.صحيه2!G13+ت.صحيه2!I13+ت.صحيه3!C13+ت.صحيه3!E13+ت.صحيه3!G13</f>
        <v>16023313</v>
      </c>
      <c r="I13" s="339" t="s">
        <v>16</v>
      </c>
      <c r="J13" s="292"/>
    </row>
    <row r="14" spans="1:10" s="167" customFormat="1" ht="15" customHeight="1">
      <c r="A14" s="372" t="s">
        <v>5</v>
      </c>
      <c r="B14" s="366">
        <v>983</v>
      </c>
      <c r="C14" s="366">
        <f t="shared" si="1"/>
        <v>50133</v>
      </c>
      <c r="D14" s="366">
        <v>832</v>
      </c>
      <c r="E14" s="366">
        <f t="shared" si="2"/>
        <v>887744</v>
      </c>
      <c r="F14" s="366">
        <v>987</v>
      </c>
      <c r="G14" s="366">
        <f>F14*170</f>
        <v>167790</v>
      </c>
      <c r="H14" s="366">
        <f>ت.صحيه1!C14+ت.صحيه1!E14+ت.صحيه1!G14+ت.صحيه1!I14+ت.صحيه1!K14+ت.صحيه2!C14+ت.صحيه2!E14+ت.صحيه2!G14+ت.صحيه2!I14+ت.صحيه3!C14+ت.صحيه3!E14+ت.صحيه3!G14</f>
        <v>2275737</v>
      </c>
      <c r="I14" s="373" t="s">
        <v>23</v>
      </c>
      <c r="J14" s="292"/>
    </row>
    <row r="15" spans="1:10" s="167" customFormat="1" ht="15" customHeight="1">
      <c r="A15" s="338" t="s">
        <v>6</v>
      </c>
      <c r="B15" s="334">
        <v>1204</v>
      </c>
      <c r="C15" s="334">
        <f t="shared" si="1"/>
        <v>61404</v>
      </c>
      <c r="D15" s="334">
        <v>0</v>
      </c>
      <c r="E15" s="334">
        <f t="shared" si="2"/>
        <v>0</v>
      </c>
      <c r="F15" s="334">
        <v>1179</v>
      </c>
      <c r="G15" s="334">
        <f>F15*145</f>
        <v>170955</v>
      </c>
      <c r="H15" s="335">
        <f>ت.صحيه1!C15+ت.صحيه1!E15+ت.صحيه1!G15+ت.صحيه1!I15+ت.صحيه1!K15+ت.صحيه2!C15+ت.صحيه2!E15+ت.صحيه2!G15+ت.صحيه2!I15+ت.صحيه3!C15+ت.صحيه3!E15+ت.صحيه3!G15</f>
        <v>1538059</v>
      </c>
      <c r="I15" s="339" t="s">
        <v>380</v>
      </c>
      <c r="J15" s="292"/>
    </row>
    <row r="16" spans="1:10" s="167" customFormat="1" ht="15" customHeight="1">
      <c r="A16" s="372" t="s">
        <v>11</v>
      </c>
      <c r="B16" s="366">
        <v>718</v>
      </c>
      <c r="C16" s="366">
        <f t="shared" si="1"/>
        <v>36618</v>
      </c>
      <c r="D16" s="366">
        <v>377</v>
      </c>
      <c r="E16" s="366">
        <f t="shared" si="2"/>
        <v>402259</v>
      </c>
      <c r="F16" s="366">
        <v>1009</v>
      </c>
      <c r="G16" s="366">
        <f>F16*165</f>
        <v>166485</v>
      </c>
      <c r="H16" s="366">
        <f>ت.صحيه1!C16+ت.صحيه1!E16+ت.صحيه1!G16+ت.صحيه1!I16+ت.صحيه1!K16+ت.صحيه2!C16+ت.صحيه2!E16+ت.صحيه2!G16+ت.صحيه2!I16+ت.صحيه3!C16+ت.صحيه3!E16+ت.صحيه3!G16</f>
        <v>1395562</v>
      </c>
      <c r="I16" s="373" t="s">
        <v>21</v>
      </c>
      <c r="J16" s="292"/>
    </row>
    <row r="17" spans="1:11" s="167" customFormat="1" ht="15" customHeight="1">
      <c r="A17" s="338" t="s">
        <v>2</v>
      </c>
      <c r="B17" s="334">
        <v>151</v>
      </c>
      <c r="C17" s="334">
        <f t="shared" si="1"/>
        <v>7701</v>
      </c>
      <c r="D17" s="334">
        <v>87</v>
      </c>
      <c r="E17" s="334">
        <f t="shared" si="2"/>
        <v>92829</v>
      </c>
      <c r="F17" s="334">
        <v>277</v>
      </c>
      <c r="G17" s="334">
        <f>F17*140</f>
        <v>38780</v>
      </c>
      <c r="H17" s="335">
        <f>ت.صحيه1!C17+ت.صحيه1!E17+ت.صحيه1!G17+ت.صحيه1!I17+ت.صحيه1!K17+ت.صحيه2!C17+ت.صحيه2!E17+ت.صحيه2!G17+ت.صحيه2!I17+ت.صحيه3!C17+ت.صحيه3!E17+ت.صحيه3!G17</f>
        <v>469330</v>
      </c>
      <c r="I17" s="339" t="s">
        <v>14</v>
      </c>
      <c r="J17" s="292"/>
    </row>
    <row r="18" spans="1:11" s="167" customFormat="1" ht="15" customHeight="1">
      <c r="A18" s="372" t="s">
        <v>7</v>
      </c>
      <c r="B18" s="366">
        <v>1993</v>
      </c>
      <c r="C18" s="782">
        <f t="shared" si="1"/>
        <v>101643</v>
      </c>
      <c r="D18" s="366">
        <v>2167</v>
      </c>
      <c r="E18" s="366">
        <f>D18*800</f>
        <v>1733600</v>
      </c>
      <c r="F18" s="366">
        <v>1276</v>
      </c>
      <c r="G18" s="366">
        <f>F18*148</f>
        <v>188848</v>
      </c>
      <c r="H18" s="366">
        <f>ت.صحيه1!C18+ت.صحيه1!E18+ت.صحيه1!G18+ت.صحيه1!I18+ت.صحيه1!K18+ت.صحيه2!C18+ت.صحيه2!E18+ت.صحيه2!G18+ت.صحيه2!I18+ت.صحيه3!C18+ت.صحيه3!E18+ت.صحيه3!G18</f>
        <v>3698927</v>
      </c>
      <c r="I18" s="373" t="s">
        <v>17</v>
      </c>
      <c r="J18" s="292"/>
    </row>
    <row r="19" spans="1:11" s="167" customFormat="1" ht="15" customHeight="1">
      <c r="A19" s="338" t="s">
        <v>8</v>
      </c>
      <c r="B19" s="334">
        <v>1611</v>
      </c>
      <c r="C19" s="334">
        <f t="shared" si="1"/>
        <v>82161</v>
      </c>
      <c r="D19" s="334">
        <v>99</v>
      </c>
      <c r="E19" s="334">
        <f t="shared" si="2"/>
        <v>105633</v>
      </c>
      <c r="F19" s="334">
        <v>2137</v>
      </c>
      <c r="G19" s="334">
        <f>F19*120</f>
        <v>256440</v>
      </c>
      <c r="H19" s="335">
        <f>ت.صحيه1!C19+ت.صحيه1!E19+ت.صحيه1!G19+ت.صحيه1!I19+ت.صحيه1!K19+ت.صحيه2!C19+ت.صحيه2!E19+ت.صحيه2!G19+ت.صحيه2!I19+ت.صحيه3!C19+ت.صحيه3!E19+ت.صحيه3!G19</f>
        <v>2631958</v>
      </c>
      <c r="I19" s="339" t="s">
        <v>18</v>
      </c>
      <c r="J19" s="292"/>
    </row>
    <row r="20" spans="1:11" s="167" customFormat="1" ht="15" customHeight="1">
      <c r="A20" s="372" t="s">
        <v>9</v>
      </c>
      <c r="B20" s="366">
        <v>298</v>
      </c>
      <c r="C20" s="366">
        <f t="shared" si="1"/>
        <v>15198</v>
      </c>
      <c r="D20" s="366">
        <v>31</v>
      </c>
      <c r="E20" s="366">
        <f t="shared" si="2"/>
        <v>33077</v>
      </c>
      <c r="F20" s="366">
        <v>335</v>
      </c>
      <c r="G20" s="366">
        <f>F20*120</f>
        <v>40200</v>
      </c>
      <c r="H20" s="366">
        <f>ت.صحيه1!C20+ت.صحيه1!E20+ت.صحيه1!G20+ت.صحيه1!I20+ت.صحيه1!K20+ت.صحيه2!C20+ت.صحيه2!E20+ت.صحيه2!G20+ت.صحيه2!I20+ت.صحيه3!C20+ت.صحيه3!E20+ت.صحيه3!G20</f>
        <v>816852</v>
      </c>
      <c r="I20" s="373" t="s">
        <v>19</v>
      </c>
      <c r="J20" s="292"/>
    </row>
    <row r="21" spans="1:11" s="167" customFormat="1" ht="15" customHeight="1">
      <c r="A21" s="338" t="s">
        <v>10</v>
      </c>
      <c r="B21" s="334">
        <v>1895</v>
      </c>
      <c r="C21" s="334">
        <f t="shared" si="1"/>
        <v>96645</v>
      </c>
      <c r="D21" s="334">
        <v>0</v>
      </c>
      <c r="E21" s="334">
        <f t="shared" si="2"/>
        <v>0</v>
      </c>
      <c r="F21" s="334">
        <v>2073</v>
      </c>
      <c r="G21" s="334">
        <f>F21*100</f>
        <v>207300</v>
      </c>
      <c r="H21" s="335">
        <f>ت.صحيه1!C21+ت.صحيه1!E21+ت.صحيه1!G21+ت.صحيه1!I21+ت.صحيه1!K21+ت.صحيه2!C21+ت.صحيه2!E21+ت.صحيه2!G21+ت.صحيه2!I21+ت.صحيه3!C21+ت.صحيه3!E21+ت.صحيه3!G21</f>
        <v>1558026</v>
      </c>
      <c r="I21" s="339" t="s">
        <v>20</v>
      </c>
      <c r="J21" s="292"/>
    </row>
    <row r="22" spans="1:11" s="167" customFormat="1" ht="15" customHeight="1">
      <c r="A22" s="372" t="s">
        <v>12</v>
      </c>
      <c r="B22" s="366">
        <v>4756</v>
      </c>
      <c r="C22" s="366">
        <f t="shared" si="1"/>
        <v>242556</v>
      </c>
      <c r="D22" s="366">
        <v>3009</v>
      </c>
      <c r="E22" s="366">
        <f>D22*800</f>
        <v>2407200</v>
      </c>
      <c r="F22" s="366">
        <v>7137</v>
      </c>
      <c r="G22" s="366">
        <f>F22*102</f>
        <v>727974</v>
      </c>
      <c r="H22" s="366">
        <f>ت.صحيه1!C22+ت.صحيه1!E22+ت.صحيه1!G22+ت.صحيه1!I22+ت.صحيه1!K22+ت.صحيه2!C22+ت.صحيه2!E22+ت.صحيه2!G22+ت.صحيه2!I22+ت.صحيه3!C22+ت.صحيه3!E22+ت.صحيه3!G22</f>
        <v>4391350.5</v>
      </c>
      <c r="I22" s="373" t="s">
        <v>24</v>
      </c>
      <c r="J22" s="292"/>
    </row>
    <row r="23" spans="1:11" s="240" customFormat="1" ht="15" customHeight="1" thickBot="1">
      <c r="A23" s="341" t="s">
        <v>13</v>
      </c>
      <c r="B23" s="342">
        <v>624</v>
      </c>
      <c r="C23" s="342">
        <f t="shared" si="1"/>
        <v>31824</v>
      </c>
      <c r="D23" s="342">
        <v>0</v>
      </c>
      <c r="E23" s="342">
        <f t="shared" si="2"/>
        <v>0</v>
      </c>
      <c r="F23" s="342">
        <v>780</v>
      </c>
      <c r="G23" s="342">
        <f>F23*100</f>
        <v>78000</v>
      </c>
      <c r="H23" s="342">
        <f>ت.صحيه1!C23+ت.صحيه1!E23+ت.صحيه1!G23+ت.صحيه1!I23+ت.صحيه1!K23+ت.صحيه2!C23+ت.صحيه2!E23+ت.صحيه2!G23+ت.صحيه2!I23+ت.صحيه3!C23+ت.صحيه3!E23+ت.صحيه3!G23</f>
        <v>906910</v>
      </c>
      <c r="I23" s="343" t="s">
        <v>22</v>
      </c>
      <c r="J23" s="305"/>
    </row>
    <row r="24" spans="1:11" s="240" customFormat="1" ht="19.5" customHeight="1" thickBot="1">
      <c r="A24" s="491" t="s">
        <v>0</v>
      </c>
      <c r="B24" s="483">
        <f>SUM(B9:B23)</f>
        <v>20677</v>
      </c>
      <c r="C24" s="483">
        <f t="shared" ref="C24:H24" si="3">SUM(C9:C23)</f>
        <v>1060401</v>
      </c>
      <c r="D24" s="483">
        <f t="shared" si="3"/>
        <v>17818</v>
      </c>
      <c r="E24" s="483">
        <f t="shared" si="3"/>
        <v>16621502</v>
      </c>
      <c r="F24" s="483">
        <f t="shared" si="3"/>
        <v>38564</v>
      </c>
      <c r="G24" s="483">
        <f t="shared" si="3"/>
        <v>5513644</v>
      </c>
      <c r="H24" s="483">
        <f t="shared" si="3"/>
        <v>43099582.5</v>
      </c>
      <c r="I24" s="492" t="s">
        <v>1</v>
      </c>
    </row>
    <row r="25" spans="1:11" s="4" customFormat="1" ht="19.5" customHeight="1">
      <c r="A25" s="891"/>
      <c r="B25" s="891"/>
      <c r="C25" s="891"/>
      <c r="D25" s="891"/>
      <c r="E25" s="891"/>
      <c r="F25" s="891"/>
      <c r="G25" s="891"/>
      <c r="H25" s="601"/>
      <c r="I25" s="602"/>
      <c r="J25" s="593"/>
    </row>
    <row r="26" spans="1:11" ht="14.25">
      <c r="A26" s="593"/>
      <c r="B26" s="593"/>
      <c r="C26" s="593"/>
      <c r="D26" s="593"/>
      <c r="E26" s="593"/>
      <c r="F26" s="593"/>
      <c r="G26" s="593"/>
      <c r="H26" s="593"/>
      <c r="I26" s="596"/>
      <c r="J26" s="593"/>
    </row>
    <row r="27" spans="1:11" ht="15" customHeight="1">
      <c r="A27" s="912"/>
      <c r="B27" s="912"/>
      <c r="C27" s="593"/>
      <c r="D27" s="593"/>
      <c r="E27" s="593"/>
      <c r="F27" s="593"/>
      <c r="G27" s="593"/>
      <c r="H27" s="593"/>
      <c r="I27" s="595"/>
      <c r="J27" s="593"/>
      <c r="K27" s="31"/>
    </row>
  </sheetData>
  <mergeCells count="12">
    <mergeCell ref="H3:I3"/>
    <mergeCell ref="A27:B27"/>
    <mergeCell ref="A4:B4"/>
    <mergeCell ref="A1:I1"/>
    <mergeCell ref="A2:I2"/>
    <mergeCell ref="C4:D4"/>
    <mergeCell ref="F4:H4"/>
    <mergeCell ref="F6:G6"/>
    <mergeCell ref="D5:E5"/>
    <mergeCell ref="F5:G5"/>
    <mergeCell ref="D6:E6"/>
    <mergeCell ref="A25:G25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  <ignoredErrors>
    <ignoredError sqref="E10 E13 E18 E22 G10 G22" formula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J33"/>
  <sheetViews>
    <sheetView rightToLeft="1" zoomScale="80" zoomScaleNormal="80" zoomScaleSheetLayoutView="100" workbookViewId="0">
      <selection activeCell="A4" sqref="A4:B4"/>
    </sheetView>
  </sheetViews>
  <sheetFormatPr defaultRowHeight="12.75"/>
  <cols>
    <col min="1" max="1" width="9.140625" customWidth="1"/>
    <col min="2" max="2" width="10" customWidth="1"/>
    <col min="3" max="3" width="13.5703125" bestFit="1" customWidth="1"/>
    <col min="4" max="4" width="11.5703125" customWidth="1"/>
    <col min="5" max="5" width="14.140625" customWidth="1"/>
    <col min="6" max="7" width="11.5703125" style="4" customWidth="1"/>
    <col min="8" max="8" width="18.5703125" customWidth="1"/>
    <col min="9" max="9" width="6.42578125" customWidth="1"/>
    <col min="10" max="10" width="10" bestFit="1" customWidth="1"/>
  </cols>
  <sheetData>
    <row r="1" spans="1:8" ht="15">
      <c r="A1" s="855" t="s">
        <v>466</v>
      </c>
      <c r="B1" s="855"/>
      <c r="C1" s="855"/>
      <c r="D1" s="855"/>
      <c r="E1" s="855"/>
      <c r="F1" s="855"/>
      <c r="G1" s="855"/>
      <c r="H1" s="855"/>
    </row>
    <row r="2" spans="1:8" ht="14.25" customHeight="1">
      <c r="A2" s="916" t="s">
        <v>385</v>
      </c>
      <c r="B2" s="916"/>
      <c r="C2" s="916"/>
      <c r="D2" s="916"/>
      <c r="E2" s="916"/>
      <c r="F2" s="916"/>
      <c r="G2" s="916"/>
      <c r="H2" s="916"/>
    </row>
    <row r="3" spans="1:8" s="4" customFormat="1" ht="14.25" customHeight="1">
      <c r="A3" s="136"/>
      <c r="B3" s="136"/>
      <c r="C3" s="136"/>
      <c r="D3" s="136"/>
      <c r="E3" s="136"/>
      <c r="F3" s="899"/>
      <c r="G3" s="899"/>
      <c r="H3" s="899"/>
    </row>
    <row r="4" spans="1:8" ht="15" customHeight="1" thickBot="1">
      <c r="A4" s="866" t="s">
        <v>456</v>
      </c>
      <c r="B4" s="866"/>
      <c r="C4" s="951" t="s">
        <v>164</v>
      </c>
      <c r="D4" s="951"/>
      <c r="E4" s="951"/>
      <c r="F4" s="321"/>
      <c r="G4" s="321"/>
      <c r="H4" s="149" t="s">
        <v>459</v>
      </c>
    </row>
    <row r="5" spans="1:8" ht="15" customHeight="1">
      <c r="A5" s="78"/>
      <c r="B5" s="952" t="s">
        <v>69</v>
      </c>
      <c r="C5" s="952"/>
      <c r="D5" s="952" t="s">
        <v>70</v>
      </c>
      <c r="E5" s="952"/>
      <c r="F5" s="110" t="s">
        <v>356</v>
      </c>
      <c r="G5" s="322"/>
      <c r="H5" s="21"/>
    </row>
    <row r="6" spans="1:8" ht="15" customHeight="1">
      <c r="A6" s="19"/>
      <c r="B6" s="916" t="s">
        <v>262</v>
      </c>
      <c r="C6" s="916"/>
      <c r="D6" s="916" t="s">
        <v>157</v>
      </c>
      <c r="E6" s="916"/>
      <c r="F6" s="319"/>
      <c r="G6" s="319"/>
      <c r="H6" s="24"/>
    </row>
    <row r="7" spans="1:8" ht="15" customHeight="1">
      <c r="A7" s="31"/>
      <c r="B7" s="177" t="s">
        <v>34</v>
      </c>
      <c r="C7" s="177" t="s">
        <v>216</v>
      </c>
      <c r="D7" s="177" t="s">
        <v>177</v>
      </c>
      <c r="E7" s="178" t="s">
        <v>219</v>
      </c>
      <c r="F7" s="323" t="s">
        <v>216</v>
      </c>
      <c r="G7" s="320"/>
      <c r="H7" s="24"/>
    </row>
    <row r="8" spans="1:8" ht="15" customHeight="1" thickBot="1">
      <c r="A8" s="181" t="s">
        <v>51</v>
      </c>
      <c r="B8" s="225" t="s">
        <v>122</v>
      </c>
      <c r="C8" s="225" t="s">
        <v>28</v>
      </c>
      <c r="D8" s="225" t="s">
        <v>119</v>
      </c>
      <c r="E8" s="225" t="s">
        <v>28</v>
      </c>
      <c r="F8" s="225" t="s">
        <v>118</v>
      </c>
      <c r="G8" s="225" t="s">
        <v>83</v>
      </c>
      <c r="H8" s="37" t="s">
        <v>25</v>
      </c>
    </row>
    <row r="9" spans="1:8" s="167" customFormat="1" ht="15" customHeight="1" thickTop="1">
      <c r="A9" s="348" t="s">
        <v>329</v>
      </c>
      <c r="B9" s="334">
        <v>189</v>
      </c>
      <c r="C9" s="334">
        <f>B9*650</f>
        <v>122850</v>
      </c>
      <c r="D9" s="335">
        <v>64891</v>
      </c>
      <c r="E9" s="335">
        <f>D9*11</f>
        <v>713801</v>
      </c>
      <c r="F9" s="334">
        <v>27739</v>
      </c>
      <c r="G9" s="334">
        <f>F9*5</f>
        <v>138695</v>
      </c>
      <c r="H9" s="346" t="s">
        <v>379</v>
      </c>
    </row>
    <row r="10" spans="1:8" s="167" customFormat="1" ht="15" customHeight="1">
      <c r="A10" s="365" t="s">
        <v>29</v>
      </c>
      <c r="B10" s="366">
        <v>0</v>
      </c>
      <c r="C10" s="366">
        <v>0</v>
      </c>
      <c r="D10" s="367">
        <v>111621</v>
      </c>
      <c r="E10" s="367">
        <f t="shared" ref="E10:E22" si="0">D10*10</f>
        <v>1116210</v>
      </c>
      <c r="F10" s="366">
        <v>10493</v>
      </c>
      <c r="G10" s="366">
        <f t="shared" ref="G10:G23" si="1">F10*5</f>
        <v>52465</v>
      </c>
      <c r="H10" s="368" t="s">
        <v>30</v>
      </c>
    </row>
    <row r="11" spans="1:8" s="167" customFormat="1" ht="15" customHeight="1">
      <c r="A11" s="350" t="s">
        <v>3</v>
      </c>
      <c r="B11" s="334">
        <v>4628</v>
      </c>
      <c r="C11" s="334">
        <f>B11*375</f>
        <v>1735500</v>
      </c>
      <c r="D11" s="335">
        <v>212232</v>
      </c>
      <c r="E11" s="335">
        <f t="shared" si="0"/>
        <v>2122320</v>
      </c>
      <c r="F11" s="334">
        <v>10707</v>
      </c>
      <c r="G11" s="334">
        <f>F11*3</f>
        <v>32121</v>
      </c>
      <c r="H11" s="346" t="s">
        <v>15</v>
      </c>
    </row>
    <row r="12" spans="1:8" s="167" customFormat="1" ht="15" customHeight="1">
      <c r="A12" s="365" t="s">
        <v>320</v>
      </c>
      <c r="B12" s="366">
        <v>709</v>
      </c>
      <c r="C12" s="366">
        <f>B12*290</f>
        <v>205610</v>
      </c>
      <c r="D12" s="367">
        <v>90667</v>
      </c>
      <c r="E12" s="367">
        <f t="shared" si="0"/>
        <v>906670</v>
      </c>
      <c r="F12" s="366">
        <v>5433</v>
      </c>
      <c r="G12" s="366">
        <f t="shared" si="1"/>
        <v>27165</v>
      </c>
      <c r="H12" s="368" t="s">
        <v>316</v>
      </c>
    </row>
    <row r="13" spans="1:8" s="167" customFormat="1" ht="15" customHeight="1">
      <c r="A13" s="350" t="s">
        <v>4</v>
      </c>
      <c r="B13" s="334">
        <v>236476</v>
      </c>
      <c r="C13" s="334">
        <f>B13*422</f>
        <v>99792872</v>
      </c>
      <c r="D13" s="335">
        <v>349933</v>
      </c>
      <c r="E13" s="335">
        <f>D13*12</f>
        <v>4199196</v>
      </c>
      <c r="F13" s="334">
        <v>144668</v>
      </c>
      <c r="G13" s="334">
        <f t="shared" si="1"/>
        <v>723340</v>
      </c>
      <c r="H13" s="346" t="s">
        <v>16</v>
      </c>
    </row>
    <row r="14" spans="1:8" s="167" customFormat="1" ht="15" customHeight="1">
      <c r="A14" s="365" t="s">
        <v>5</v>
      </c>
      <c r="B14" s="366">
        <v>1507</v>
      </c>
      <c r="C14" s="366">
        <f>B14*477</f>
        <v>718839</v>
      </c>
      <c r="D14" s="367">
        <v>187761</v>
      </c>
      <c r="E14" s="367">
        <f>D14*11</f>
        <v>2065371</v>
      </c>
      <c r="F14" s="366">
        <v>18651</v>
      </c>
      <c r="G14" s="366">
        <f>F14*8</f>
        <v>149208</v>
      </c>
      <c r="H14" s="368" t="s">
        <v>23</v>
      </c>
    </row>
    <row r="15" spans="1:8" s="167" customFormat="1" ht="15" customHeight="1">
      <c r="A15" s="350" t="s">
        <v>6</v>
      </c>
      <c r="B15" s="334">
        <v>2133</v>
      </c>
      <c r="C15" s="334">
        <f>B15*350</f>
        <v>746550</v>
      </c>
      <c r="D15" s="335">
        <v>253410</v>
      </c>
      <c r="E15" s="335">
        <f>D15*13</f>
        <v>3294330</v>
      </c>
      <c r="F15" s="334">
        <v>7378</v>
      </c>
      <c r="G15" s="334">
        <f t="shared" si="1"/>
        <v>36890</v>
      </c>
      <c r="H15" s="346" t="s">
        <v>380</v>
      </c>
    </row>
    <row r="16" spans="1:8" s="167" customFormat="1" ht="15" customHeight="1">
      <c r="A16" s="365" t="s">
        <v>11</v>
      </c>
      <c r="B16" s="366">
        <v>698</v>
      </c>
      <c r="C16" s="366">
        <f>B16*550</f>
        <v>383900</v>
      </c>
      <c r="D16" s="367">
        <v>191973</v>
      </c>
      <c r="E16" s="367">
        <f>D16*11</f>
        <v>2111703</v>
      </c>
      <c r="F16" s="366">
        <v>17220</v>
      </c>
      <c r="G16" s="366">
        <f t="shared" si="1"/>
        <v>86100</v>
      </c>
      <c r="H16" s="368" t="s">
        <v>21</v>
      </c>
    </row>
    <row r="17" spans="1:10" s="167" customFormat="1" ht="15.75" customHeight="1">
      <c r="A17" s="350" t="s">
        <v>2</v>
      </c>
      <c r="B17" s="334">
        <v>150</v>
      </c>
      <c r="C17" s="334">
        <f>B17*224</f>
        <v>33600</v>
      </c>
      <c r="D17" s="335">
        <v>49777</v>
      </c>
      <c r="E17" s="335">
        <f t="shared" si="0"/>
        <v>497770</v>
      </c>
      <c r="F17" s="334">
        <v>1429</v>
      </c>
      <c r="G17" s="334">
        <f>F17*3</f>
        <v>4287</v>
      </c>
      <c r="H17" s="346" t="s">
        <v>14</v>
      </c>
    </row>
    <row r="18" spans="1:10" s="167" customFormat="1" ht="15" customHeight="1">
      <c r="A18" s="365" t="s">
        <v>7</v>
      </c>
      <c r="B18" s="366">
        <v>3509</v>
      </c>
      <c r="C18" s="782">
        <f>B18*630</f>
        <v>2210670</v>
      </c>
      <c r="D18" s="367">
        <v>460243</v>
      </c>
      <c r="E18" s="367">
        <f>D18*12</f>
        <v>5522916</v>
      </c>
      <c r="F18" s="366">
        <v>40948</v>
      </c>
      <c r="G18" s="366">
        <f>F18*4</f>
        <v>163792</v>
      </c>
      <c r="H18" s="368" t="s">
        <v>17</v>
      </c>
    </row>
    <row r="19" spans="1:10" s="167" customFormat="1" ht="15" customHeight="1">
      <c r="A19" s="350" t="s">
        <v>8</v>
      </c>
      <c r="B19" s="334">
        <v>1097</v>
      </c>
      <c r="C19" s="334">
        <f>B19*500</f>
        <v>548500</v>
      </c>
      <c r="D19" s="335">
        <v>181321</v>
      </c>
      <c r="E19" s="335">
        <f t="shared" si="0"/>
        <v>1813210</v>
      </c>
      <c r="F19" s="334">
        <v>13863</v>
      </c>
      <c r="G19" s="334">
        <f>F19*3</f>
        <v>41589</v>
      </c>
      <c r="H19" s="346" t="s">
        <v>18</v>
      </c>
    </row>
    <row r="20" spans="1:10" s="167" customFormat="1" ht="15" customHeight="1">
      <c r="A20" s="365" t="s">
        <v>9</v>
      </c>
      <c r="B20" s="366">
        <v>0</v>
      </c>
      <c r="C20" s="366">
        <v>0</v>
      </c>
      <c r="D20" s="367">
        <v>85552</v>
      </c>
      <c r="E20" s="367">
        <f t="shared" si="0"/>
        <v>855520</v>
      </c>
      <c r="F20" s="366">
        <v>6837</v>
      </c>
      <c r="G20" s="366">
        <f>F20*3</f>
        <v>20511</v>
      </c>
      <c r="H20" s="368" t="s">
        <v>19</v>
      </c>
    </row>
    <row r="21" spans="1:10" s="167" customFormat="1" ht="15" customHeight="1">
      <c r="A21" s="350" t="s">
        <v>10</v>
      </c>
      <c r="B21" s="334">
        <v>0</v>
      </c>
      <c r="C21" s="334">
        <v>0</v>
      </c>
      <c r="D21" s="335">
        <v>327926</v>
      </c>
      <c r="E21" s="335">
        <f>D21*11</f>
        <v>3607186</v>
      </c>
      <c r="F21" s="334">
        <v>19735</v>
      </c>
      <c r="G21" s="334">
        <f>F21*4</f>
        <v>78940</v>
      </c>
      <c r="H21" s="346" t="s">
        <v>20</v>
      </c>
    </row>
    <row r="22" spans="1:10" s="167" customFormat="1" ht="15" customHeight="1">
      <c r="A22" s="365" t="s">
        <v>12</v>
      </c>
      <c r="B22" s="366">
        <v>55</v>
      </c>
      <c r="C22" s="366">
        <f>B22*400</f>
        <v>22000</v>
      </c>
      <c r="D22" s="367">
        <v>100647</v>
      </c>
      <c r="E22" s="367">
        <f t="shared" si="0"/>
        <v>1006470</v>
      </c>
      <c r="F22" s="366">
        <v>89354</v>
      </c>
      <c r="G22" s="366">
        <f>F22*4</f>
        <v>357416</v>
      </c>
      <c r="H22" s="368" t="s">
        <v>24</v>
      </c>
    </row>
    <row r="23" spans="1:10" s="167" customFormat="1" ht="15" customHeight="1" thickBot="1">
      <c r="A23" s="350" t="s">
        <v>13</v>
      </c>
      <c r="B23" s="334">
        <v>0</v>
      </c>
      <c r="C23" s="334">
        <v>0</v>
      </c>
      <c r="D23" s="335">
        <v>363724</v>
      </c>
      <c r="E23" s="335">
        <f>D23*13</f>
        <v>4728412</v>
      </c>
      <c r="F23" s="334">
        <v>14021</v>
      </c>
      <c r="G23" s="334">
        <f t="shared" si="1"/>
        <v>70105</v>
      </c>
      <c r="H23" s="346" t="s">
        <v>22</v>
      </c>
    </row>
    <row r="24" spans="1:10" s="167" customFormat="1" ht="24" customHeight="1" thickBot="1">
      <c r="A24" s="306" t="s">
        <v>0</v>
      </c>
      <c r="B24" s="297">
        <f>SUM(B9:B23)</f>
        <v>251151</v>
      </c>
      <c r="C24" s="297">
        <f t="shared" ref="C24:G24" si="2">SUM(C9:C23)</f>
        <v>106520891</v>
      </c>
      <c r="D24" s="297">
        <f t="shared" si="2"/>
        <v>3031678</v>
      </c>
      <c r="E24" s="297">
        <f t="shared" si="2"/>
        <v>34561085</v>
      </c>
      <c r="F24" s="297">
        <f t="shared" si="2"/>
        <v>428476</v>
      </c>
      <c r="G24" s="297">
        <f t="shared" si="2"/>
        <v>1982624</v>
      </c>
      <c r="H24" s="503" t="s">
        <v>1</v>
      </c>
    </row>
    <row r="25" spans="1:10" s="4" customFormat="1" ht="16.5" customHeight="1">
      <c r="A25" s="891"/>
      <c r="B25" s="891"/>
      <c r="C25" s="891"/>
      <c r="D25" s="891"/>
      <c r="E25" s="598"/>
      <c r="F25" s="598"/>
      <c r="G25" s="598"/>
      <c r="H25" s="597"/>
      <c r="I25" s="593"/>
      <c r="J25" s="593"/>
    </row>
    <row r="26" spans="1:10" ht="14.25">
      <c r="A26" s="593"/>
      <c r="B26" s="593"/>
      <c r="C26" s="593"/>
      <c r="D26" s="593"/>
      <c r="E26" s="593"/>
      <c r="F26" s="593"/>
      <c r="G26" s="593"/>
      <c r="H26" s="596"/>
      <c r="I26" s="593"/>
      <c r="J26" s="593"/>
    </row>
    <row r="27" spans="1:10" ht="15">
      <c r="A27" s="600"/>
      <c r="B27" s="593"/>
      <c r="C27" s="593"/>
      <c r="D27" s="593"/>
      <c r="E27" s="593"/>
      <c r="F27" s="913"/>
      <c r="G27" s="913"/>
      <c r="H27" s="913"/>
      <c r="I27" s="593"/>
      <c r="J27" s="593"/>
    </row>
    <row r="28" spans="1:10">
      <c r="J28" s="4"/>
    </row>
    <row r="29" spans="1:10">
      <c r="F29" s="2"/>
      <c r="J29" s="4"/>
    </row>
    <row r="30" spans="1:10">
      <c r="J30" s="4"/>
    </row>
    <row r="31" spans="1:10">
      <c r="J31" s="4"/>
    </row>
    <row r="32" spans="1:10">
      <c r="J32" s="4"/>
    </row>
    <row r="33" spans="10:10">
      <c r="J33" s="4"/>
    </row>
  </sheetData>
  <mergeCells count="11">
    <mergeCell ref="A1:H1"/>
    <mergeCell ref="A2:H2"/>
    <mergeCell ref="C4:E4"/>
    <mergeCell ref="F3:H3"/>
    <mergeCell ref="F27:H27"/>
    <mergeCell ref="A25:D25"/>
    <mergeCell ref="B5:C5"/>
    <mergeCell ref="B6:C6"/>
    <mergeCell ref="D5:E5"/>
    <mergeCell ref="D6:E6"/>
    <mergeCell ref="A4:B4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  <ignoredErrors>
    <ignoredError sqref="E15 E18 E21 G11 G14 G18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J27"/>
  <sheetViews>
    <sheetView rightToLeft="1" zoomScale="80" zoomScaleNormal="80" zoomScaleSheetLayoutView="100" workbookViewId="0">
      <selection activeCell="A4" sqref="A4:B4"/>
    </sheetView>
  </sheetViews>
  <sheetFormatPr defaultRowHeight="12.75"/>
  <cols>
    <col min="1" max="1" width="8.85546875" customWidth="1"/>
    <col min="2" max="2" width="11.5703125" customWidth="1"/>
    <col min="3" max="3" width="13.28515625" customWidth="1"/>
    <col min="4" max="4" width="11.7109375" customWidth="1"/>
    <col min="5" max="5" width="13" bestFit="1" customWidth="1"/>
    <col min="6" max="6" width="11.7109375" customWidth="1"/>
    <col min="7" max="7" width="11.5703125" bestFit="1" customWidth="1"/>
    <col min="8" max="8" width="11.42578125" bestFit="1" customWidth="1"/>
    <col min="9" max="9" width="11.85546875" customWidth="1"/>
    <col min="10" max="10" width="18.140625" customWidth="1"/>
    <col min="11" max="16" width="10.7109375" customWidth="1"/>
  </cols>
  <sheetData>
    <row r="1" spans="1:10" ht="16.5" customHeight="1">
      <c r="A1" s="855" t="s">
        <v>466</v>
      </c>
      <c r="B1" s="855"/>
      <c r="C1" s="855"/>
      <c r="D1" s="855"/>
      <c r="E1" s="855"/>
      <c r="F1" s="855"/>
      <c r="G1" s="855"/>
      <c r="H1" s="855"/>
      <c r="I1" s="855"/>
      <c r="J1" s="855"/>
    </row>
    <row r="2" spans="1:10" ht="15">
      <c r="A2" s="845" t="s">
        <v>385</v>
      </c>
      <c r="B2" s="845"/>
      <c r="C2" s="845"/>
      <c r="D2" s="845"/>
      <c r="E2" s="845"/>
      <c r="F2" s="845"/>
      <c r="G2" s="845"/>
      <c r="H2" s="845"/>
      <c r="I2" s="845"/>
      <c r="J2" s="845"/>
    </row>
    <row r="3" spans="1:10" s="4" customFormat="1" ht="15">
      <c r="A3" s="135"/>
      <c r="B3" s="135"/>
      <c r="C3" s="135"/>
      <c r="D3" s="135"/>
      <c r="E3" s="135"/>
      <c r="F3" s="135"/>
      <c r="G3" s="135"/>
      <c r="H3" s="135"/>
      <c r="I3" s="135"/>
      <c r="J3" s="837" t="s">
        <v>362</v>
      </c>
    </row>
    <row r="4" spans="1:10" ht="26.25" customHeight="1" thickBot="1">
      <c r="A4" s="866" t="s">
        <v>456</v>
      </c>
      <c r="B4" s="866"/>
      <c r="C4" s="954" t="s">
        <v>471</v>
      </c>
      <c r="D4" s="954"/>
      <c r="E4" s="16"/>
      <c r="F4" s="906" t="s">
        <v>472</v>
      </c>
      <c r="G4" s="906"/>
      <c r="H4" s="906"/>
      <c r="I4" s="906"/>
      <c r="J4" s="906"/>
    </row>
    <row r="5" spans="1:10" ht="15" customHeight="1">
      <c r="A5" s="18"/>
      <c r="B5" s="952" t="s">
        <v>66</v>
      </c>
      <c r="C5" s="952"/>
      <c r="D5" s="952" t="s">
        <v>67</v>
      </c>
      <c r="E5" s="952"/>
      <c r="F5" s="952" t="s">
        <v>68</v>
      </c>
      <c r="G5" s="952"/>
      <c r="H5" s="952" t="s">
        <v>184</v>
      </c>
      <c r="I5" s="952"/>
      <c r="J5" s="18"/>
    </row>
    <row r="6" spans="1:10" s="4" customFormat="1" ht="31.5" customHeight="1">
      <c r="A6" s="18"/>
      <c r="B6" s="953" t="s">
        <v>241</v>
      </c>
      <c r="C6" s="953"/>
      <c r="D6" s="953" t="s">
        <v>263</v>
      </c>
      <c r="E6" s="953"/>
      <c r="F6" s="953" t="s">
        <v>283</v>
      </c>
      <c r="G6" s="953"/>
      <c r="H6" s="953" t="s">
        <v>264</v>
      </c>
      <c r="I6" s="953"/>
      <c r="J6" s="18"/>
    </row>
    <row r="7" spans="1:10" ht="19.5" customHeight="1">
      <c r="A7" s="31"/>
      <c r="B7" s="178" t="s">
        <v>225</v>
      </c>
      <c r="C7" s="33" t="s">
        <v>216</v>
      </c>
      <c r="D7" s="33" t="s">
        <v>65</v>
      </c>
      <c r="E7" s="33" t="s">
        <v>216</v>
      </c>
      <c r="F7" s="33" t="s">
        <v>65</v>
      </c>
      <c r="G7" s="33" t="s">
        <v>216</v>
      </c>
      <c r="H7" s="33" t="s">
        <v>65</v>
      </c>
      <c r="I7" s="33" t="s">
        <v>216</v>
      </c>
      <c r="J7" s="19"/>
    </row>
    <row r="8" spans="1:10" s="2" customFormat="1" ht="21" customHeight="1" thickBot="1">
      <c r="A8" s="181" t="s">
        <v>47</v>
      </c>
      <c r="B8" s="415" t="s">
        <v>226</v>
      </c>
      <c r="C8" s="415" t="s">
        <v>28</v>
      </c>
      <c r="D8" s="415" t="s">
        <v>118</v>
      </c>
      <c r="E8" s="415" t="s">
        <v>28</v>
      </c>
      <c r="F8" s="415" t="s">
        <v>118</v>
      </c>
      <c r="G8" s="415" t="s">
        <v>28</v>
      </c>
      <c r="H8" s="415">
        <v>0</v>
      </c>
      <c r="I8" s="415" t="s">
        <v>28</v>
      </c>
      <c r="J8" s="498" t="s">
        <v>25</v>
      </c>
    </row>
    <row r="9" spans="1:10" s="240" customFormat="1" ht="15" customHeight="1" thickTop="1">
      <c r="A9" s="299" t="s">
        <v>329</v>
      </c>
      <c r="B9" s="307">
        <v>208</v>
      </c>
      <c r="C9" s="307">
        <f>B9*3</f>
        <v>624</v>
      </c>
      <c r="D9" s="307">
        <v>0</v>
      </c>
      <c r="E9" s="307">
        <f>D9*10</f>
        <v>0</v>
      </c>
      <c r="F9" s="307">
        <v>0</v>
      </c>
      <c r="G9" s="307">
        <f>F9*3</f>
        <v>0</v>
      </c>
      <c r="H9" s="308">
        <v>0</v>
      </c>
      <c r="I9" s="308">
        <f>H9*4</f>
        <v>0</v>
      </c>
      <c r="J9" s="309" t="s">
        <v>379</v>
      </c>
    </row>
    <row r="10" spans="1:10" s="167" customFormat="1" ht="15" customHeight="1">
      <c r="A10" s="338" t="s">
        <v>29</v>
      </c>
      <c r="B10" s="344">
        <v>2346</v>
      </c>
      <c r="C10" s="344">
        <f t="shared" ref="C10:C18" si="0">B10*3</f>
        <v>7038</v>
      </c>
      <c r="D10" s="344">
        <v>0</v>
      </c>
      <c r="E10" s="344">
        <f t="shared" ref="E10:E23" si="1">D10*10</f>
        <v>0</v>
      </c>
      <c r="F10" s="344">
        <v>0</v>
      </c>
      <c r="G10" s="344">
        <f t="shared" ref="G10:G23" si="2">F10*3</f>
        <v>0</v>
      </c>
      <c r="H10" s="345">
        <v>6945</v>
      </c>
      <c r="I10" s="345">
        <f>H10*3</f>
        <v>20835</v>
      </c>
      <c r="J10" s="346" t="s">
        <v>30</v>
      </c>
    </row>
    <row r="11" spans="1:10" s="167" customFormat="1" ht="15" customHeight="1">
      <c r="A11" s="299" t="s">
        <v>3</v>
      </c>
      <c r="B11" s="307">
        <v>17988</v>
      </c>
      <c r="C11" s="307">
        <f>B11*2</f>
        <v>35976</v>
      </c>
      <c r="D11" s="307">
        <v>1088</v>
      </c>
      <c r="E11" s="307">
        <f t="shared" si="1"/>
        <v>10880</v>
      </c>
      <c r="F11" s="307">
        <v>6256</v>
      </c>
      <c r="G11" s="307">
        <f>F11*2</f>
        <v>12512</v>
      </c>
      <c r="H11" s="308">
        <v>6277</v>
      </c>
      <c r="I11" s="308">
        <f t="shared" ref="I11:I23" si="3">H11*4</f>
        <v>25108</v>
      </c>
      <c r="J11" s="309" t="s">
        <v>15</v>
      </c>
    </row>
    <row r="12" spans="1:10" s="167" customFormat="1" ht="15" customHeight="1">
      <c r="A12" s="340" t="s">
        <v>320</v>
      </c>
      <c r="B12" s="344">
        <v>13001</v>
      </c>
      <c r="C12" s="344">
        <f t="shared" si="0"/>
        <v>39003</v>
      </c>
      <c r="D12" s="344">
        <v>52</v>
      </c>
      <c r="E12" s="344">
        <f>D12*12</f>
        <v>624</v>
      </c>
      <c r="F12" s="344">
        <v>20</v>
      </c>
      <c r="G12" s="344">
        <f>F12*2</f>
        <v>40</v>
      </c>
      <c r="H12" s="345">
        <v>4148</v>
      </c>
      <c r="I12" s="345">
        <f t="shared" si="3"/>
        <v>16592</v>
      </c>
      <c r="J12" s="346" t="s">
        <v>316</v>
      </c>
    </row>
    <row r="13" spans="1:10" s="167" customFormat="1" ht="15" customHeight="1">
      <c r="A13" s="299" t="s">
        <v>4</v>
      </c>
      <c r="B13" s="307">
        <v>106773</v>
      </c>
      <c r="C13" s="307">
        <f t="shared" si="0"/>
        <v>320319</v>
      </c>
      <c r="D13" s="307">
        <v>39798</v>
      </c>
      <c r="E13" s="307">
        <f t="shared" si="1"/>
        <v>397980</v>
      </c>
      <c r="F13" s="307">
        <v>29590</v>
      </c>
      <c r="G13" s="307">
        <f t="shared" si="2"/>
        <v>88770</v>
      </c>
      <c r="H13" s="308">
        <v>41566</v>
      </c>
      <c r="I13" s="308">
        <f>H13*5</f>
        <v>207830</v>
      </c>
      <c r="J13" s="309" t="s">
        <v>16</v>
      </c>
    </row>
    <row r="14" spans="1:10" s="167" customFormat="1" ht="15" customHeight="1">
      <c r="A14" s="338" t="s">
        <v>5</v>
      </c>
      <c r="B14" s="344">
        <v>14066</v>
      </c>
      <c r="C14" s="344">
        <f t="shared" si="0"/>
        <v>42198</v>
      </c>
      <c r="D14" s="344">
        <v>3976</v>
      </c>
      <c r="E14" s="344">
        <f t="shared" si="1"/>
        <v>39760</v>
      </c>
      <c r="F14" s="344">
        <v>2101</v>
      </c>
      <c r="G14" s="344">
        <f t="shared" si="2"/>
        <v>6303</v>
      </c>
      <c r="H14" s="345">
        <v>20819</v>
      </c>
      <c r="I14" s="345">
        <f t="shared" si="3"/>
        <v>83276</v>
      </c>
      <c r="J14" s="346" t="s">
        <v>23</v>
      </c>
    </row>
    <row r="15" spans="1:10" s="167" customFormat="1" ht="15" customHeight="1">
      <c r="A15" s="299" t="s">
        <v>6</v>
      </c>
      <c r="B15" s="307">
        <v>76605</v>
      </c>
      <c r="C15" s="307">
        <f t="shared" si="0"/>
        <v>229815</v>
      </c>
      <c r="D15" s="307">
        <v>0</v>
      </c>
      <c r="E15" s="307">
        <f t="shared" si="1"/>
        <v>0</v>
      </c>
      <c r="F15" s="307">
        <v>9956</v>
      </c>
      <c r="G15" s="307">
        <f t="shared" si="2"/>
        <v>29868</v>
      </c>
      <c r="H15" s="308">
        <v>6599</v>
      </c>
      <c r="I15" s="308">
        <f>H15*3</f>
        <v>19797</v>
      </c>
      <c r="J15" s="309" t="s">
        <v>380</v>
      </c>
    </row>
    <row r="16" spans="1:10" s="167" customFormat="1" ht="15" customHeight="1">
      <c r="A16" s="338" t="s">
        <v>11</v>
      </c>
      <c r="B16" s="344">
        <v>58315</v>
      </c>
      <c r="C16" s="344">
        <f>B16*2</f>
        <v>116630</v>
      </c>
      <c r="D16" s="344">
        <v>1148</v>
      </c>
      <c r="E16" s="344">
        <f t="shared" si="1"/>
        <v>11480</v>
      </c>
      <c r="F16" s="344">
        <v>4605</v>
      </c>
      <c r="G16" s="344">
        <f>F16*2</f>
        <v>9210</v>
      </c>
      <c r="H16" s="345">
        <v>7008</v>
      </c>
      <c r="I16" s="345">
        <f t="shared" si="3"/>
        <v>28032</v>
      </c>
      <c r="J16" s="346" t="s">
        <v>21</v>
      </c>
    </row>
    <row r="17" spans="1:10" s="167" customFormat="1" ht="15" customHeight="1">
      <c r="A17" s="299" t="s">
        <v>2</v>
      </c>
      <c r="B17" s="307">
        <v>14276</v>
      </c>
      <c r="C17" s="307">
        <f>B17*4</f>
        <v>57104</v>
      </c>
      <c r="D17" s="307">
        <v>128</v>
      </c>
      <c r="E17" s="307">
        <f>D17*12</f>
        <v>1536</v>
      </c>
      <c r="F17" s="307">
        <v>607</v>
      </c>
      <c r="G17" s="307">
        <f t="shared" si="2"/>
        <v>1821</v>
      </c>
      <c r="H17" s="308">
        <v>914</v>
      </c>
      <c r="I17" s="308">
        <f>H17*5</f>
        <v>4570</v>
      </c>
      <c r="J17" s="309" t="s">
        <v>14</v>
      </c>
    </row>
    <row r="18" spans="1:10" s="167" customFormat="1" ht="15" customHeight="1">
      <c r="A18" s="338" t="s">
        <v>7</v>
      </c>
      <c r="B18" s="344">
        <v>22771</v>
      </c>
      <c r="C18" s="784">
        <f t="shared" si="0"/>
        <v>68313</v>
      </c>
      <c r="D18" s="344">
        <v>5138</v>
      </c>
      <c r="E18" s="344">
        <f t="shared" si="1"/>
        <v>51380</v>
      </c>
      <c r="F18" s="344">
        <v>5109</v>
      </c>
      <c r="G18" s="344">
        <f t="shared" si="2"/>
        <v>15327</v>
      </c>
      <c r="H18" s="345">
        <v>20059</v>
      </c>
      <c r="I18" s="345">
        <f>H18*3</f>
        <v>60177</v>
      </c>
      <c r="J18" s="346" t="s">
        <v>17</v>
      </c>
    </row>
    <row r="19" spans="1:10" s="167" customFormat="1" ht="15" customHeight="1">
      <c r="A19" s="299" t="s">
        <v>8</v>
      </c>
      <c r="B19" s="307">
        <v>32686</v>
      </c>
      <c r="C19" s="307">
        <f>B19*2</f>
        <v>65372</v>
      </c>
      <c r="D19" s="307">
        <v>9013</v>
      </c>
      <c r="E19" s="307">
        <f t="shared" si="1"/>
        <v>90130</v>
      </c>
      <c r="F19" s="307">
        <v>9238</v>
      </c>
      <c r="G19" s="307">
        <f t="shared" si="2"/>
        <v>27714</v>
      </c>
      <c r="H19" s="308">
        <v>11925</v>
      </c>
      <c r="I19" s="308">
        <f>H19*2</f>
        <v>23850</v>
      </c>
      <c r="J19" s="309" t="s">
        <v>18</v>
      </c>
    </row>
    <row r="20" spans="1:10" s="167" customFormat="1" ht="15" customHeight="1">
      <c r="A20" s="338" t="s">
        <v>9</v>
      </c>
      <c r="B20" s="344">
        <v>57649</v>
      </c>
      <c r="C20" s="344">
        <f>B20*2</f>
        <v>115298</v>
      </c>
      <c r="D20" s="344">
        <v>19591</v>
      </c>
      <c r="E20" s="344">
        <f>D20*11</f>
        <v>215501</v>
      </c>
      <c r="F20" s="344">
        <v>6693</v>
      </c>
      <c r="G20" s="344">
        <f>F20*2</f>
        <v>13386</v>
      </c>
      <c r="H20" s="345">
        <v>10804</v>
      </c>
      <c r="I20" s="345">
        <f>H20*2</f>
        <v>21608</v>
      </c>
      <c r="J20" s="346" t="s">
        <v>19</v>
      </c>
    </row>
    <row r="21" spans="1:10" s="167" customFormat="1" ht="15" customHeight="1">
      <c r="A21" s="299" t="s">
        <v>10</v>
      </c>
      <c r="B21" s="307">
        <v>45244</v>
      </c>
      <c r="C21" s="307">
        <f>B21*4</f>
        <v>180976</v>
      </c>
      <c r="D21" s="307">
        <v>1354</v>
      </c>
      <c r="E21" s="307">
        <f t="shared" si="1"/>
        <v>13540</v>
      </c>
      <c r="F21" s="307">
        <v>4561</v>
      </c>
      <c r="G21" s="307">
        <f>F21*2</f>
        <v>9122</v>
      </c>
      <c r="H21" s="308">
        <v>22479</v>
      </c>
      <c r="I21" s="308">
        <f>H21*3</f>
        <v>67437</v>
      </c>
      <c r="J21" s="309" t="s">
        <v>20</v>
      </c>
    </row>
    <row r="22" spans="1:10" s="240" customFormat="1" ht="15" customHeight="1">
      <c r="A22" s="338" t="s">
        <v>12</v>
      </c>
      <c r="B22" s="344">
        <v>45965</v>
      </c>
      <c r="C22" s="344">
        <f>B22*2</f>
        <v>91930</v>
      </c>
      <c r="D22" s="344">
        <v>0</v>
      </c>
      <c r="E22" s="344">
        <f t="shared" si="1"/>
        <v>0</v>
      </c>
      <c r="F22" s="344">
        <v>6076</v>
      </c>
      <c r="G22" s="344">
        <f>F22*2</f>
        <v>12152</v>
      </c>
      <c r="H22" s="345">
        <v>16228</v>
      </c>
      <c r="I22" s="345">
        <f t="shared" si="3"/>
        <v>64912</v>
      </c>
      <c r="J22" s="346" t="s">
        <v>24</v>
      </c>
    </row>
    <row r="23" spans="1:10" s="240" customFormat="1" ht="15" customHeight="1" thickBot="1">
      <c r="A23" s="499" t="s">
        <v>13</v>
      </c>
      <c r="B23" s="500">
        <v>70179</v>
      </c>
      <c r="C23" s="307">
        <f>B23*4</f>
        <v>280716</v>
      </c>
      <c r="D23" s="500">
        <v>0</v>
      </c>
      <c r="E23" s="307">
        <f t="shared" si="1"/>
        <v>0</v>
      </c>
      <c r="F23" s="500">
        <v>0</v>
      </c>
      <c r="G23" s="307">
        <f t="shared" si="2"/>
        <v>0</v>
      </c>
      <c r="H23" s="501">
        <v>11397</v>
      </c>
      <c r="I23" s="308">
        <f t="shared" si="3"/>
        <v>45588</v>
      </c>
      <c r="J23" s="502" t="s">
        <v>22</v>
      </c>
    </row>
    <row r="24" spans="1:10" s="240" customFormat="1" ht="24" customHeight="1" thickBot="1">
      <c r="A24" s="306" t="s">
        <v>0</v>
      </c>
      <c r="B24" s="310">
        <f>SUM(B9:B23)</f>
        <v>578072</v>
      </c>
      <c r="C24" s="310">
        <f t="shared" ref="C24:I24" si="4">SUM(C9:C23)</f>
        <v>1651312</v>
      </c>
      <c r="D24" s="310">
        <f t="shared" si="4"/>
        <v>81286</v>
      </c>
      <c r="E24" s="310">
        <f t="shared" si="4"/>
        <v>832811</v>
      </c>
      <c r="F24" s="310">
        <f t="shared" si="4"/>
        <v>84812</v>
      </c>
      <c r="G24" s="310">
        <f t="shared" si="4"/>
        <v>226225</v>
      </c>
      <c r="H24" s="310">
        <f t="shared" si="4"/>
        <v>187168</v>
      </c>
      <c r="I24" s="310">
        <f t="shared" si="4"/>
        <v>689612</v>
      </c>
      <c r="J24" s="311" t="s">
        <v>1</v>
      </c>
    </row>
    <row r="25" spans="1:10" s="4" customFormat="1" ht="24" customHeight="1">
      <c r="A25" s="891"/>
      <c r="B25" s="891"/>
      <c r="C25" s="891"/>
      <c r="D25" s="891"/>
      <c r="E25" s="891"/>
      <c r="F25" s="891"/>
      <c r="G25" s="891"/>
      <c r="H25" s="891"/>
      <c r="I25" s="598"/>
      <c r="J25" s="595"/>
    </row>
    <row r="26" spans="1:10" ht="14.25">
      <c r="A26" s="593"/>
      <c r="B26" s="593"/>
      <c r="C26" s="593"/>
      <c r="D26" s="593"/>
      <c r="E26" s="593"/>
      <c r="F26" s="593"/>
      <c r="G26" s="593"/>
      <c r="H26" s="599"/>
      <c r="I26" s="599"/>
      <c r="J26" s="596"/>
    </row>
    <row r="27" spans="1:10" ht="15" customHeight="1">
      <c r="A27" s="912"/>
      <c r="B27" s="912"/>
      <c r="C27" s="593"/>
      <c r="D27" s="593"/>
      <c r="E27" s="593"/>
      <c r="F27" s="593"/>
      <c r="G27" s="593"/>
      <c r="H27" s="599"/>
      <c r="I27" s="593"/>
      <c r="J27" s="597"/>
    </row>
  </sheetData>
  <mergeCells count="15">
    <mergeCell ref="A27:B27"/>
    <mergeCell ref="A1:J1"/>
    <mergeCell ref="A2:J2"/>
    <mergeCell ref="A25:H25"/>
    <mergeCell ref="H6:I6"/>
    <mergeCell ref="H5:I5"/>
    <mergeCell ref="F5:G5"/>
    <mergeCell ref="F6:G6"/>
    <mergeCell ref="D5:E5"/>
    <mergeCell ref="D6:E6"/>
    <mergeCell ref="B5:C5"/>
    <mergeCell ref="F4:J4"/>
    <mergeCell ref="B6:C6"/>
    <mergeCell ref="A4:B4"/>
    <mergeCell ref="C4:D4"/>
  </mergeCells>
  <phoneticPr fontId="3" type="noConversion"/>
  <printOptions horizontalCentered="1" verticalCentered="1"/>
  <pageMargins left="0.65" right="0.3" top="0.8" bottom="0.82" header="0.19685039370078741" footer="0.78740157480314965"/>
  <pageSetup paperSize="9" scale="90" orientation="landscape" r:id="rId1"/>
  <headerFooter alignWithMargins="0"/>
  <ignoredErrors>
    <ignoredError sqref="H24" formulaRange="1"/>
    <ignoredError sqref="C11 C21 E12 E17 E20 G16 I10 I13 I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</sheetPr>
  <dimension ref="A1:P27"/>
  <sheetViews>
    <sheetView rightToLeft="1" zoomScale="80" zoomScaleNormal="80" zoomScaleSheetLayoutView="100" workbookViewId="0">
      <selection activeCell="C18" sqref="C18"/>
    </sheetView>
  </sheetViews>
  <sheetFormatPr defaultRowHeight="12.75"/>
  <cols>
    <col min="1" max="1" width="11.28515625" style="593" customWidth="1"/>
    <col min="2" max="2" width="10.28515625" style="593" customWidth="1"/>
    <col min="3" max="3" width="11.5703125" style="593" customWidth="1"/>
    <col min="4" max="4" width="10" style="593" customWidth="1"/>
    <col min="5" max="5" width="13.7109375" style="593" customWidth="1"/>
    <col min="6" max="6" width="13.5703125" style="593" customWidth="1"/>
    <col min="7" max="7" width="16.7109375" style="593" customWidth="1"/>
    <col min="8" max="8" width="18.28515625" style="593" customWidth="1"/>
    <col min="9" max="9" width="22.140625" style="593" customWidth="1"/>
    <col min="10" max="10" width="13.5703125" style="593" customWidth="1"/>
    <col min="11" max="11" width="11.140625" style="593" customWidth="1"/>
    <col min="12" max="12" width="10" style="593" customWidth="1"/>
    <col min="13" max="13" width="4.140625" style="593" customWidth="1"/>
    <col min="14" max="14" width="9.140625" style="593"/>
    <col min="15" max="15" width="18.42578125" style="593" customWidth="1"/>
    <col min="16" max="16" width="22.42578125" style="593" customWidth="1"/>
    <col min="17" max="16384" width="9.140625" style="593"/>
  </cols>
  <sheetData>
    <row r="1" spans="1:16" ht="21" customHeight="1">
      <c r="A1" s="855" t="s">
        <v>415</v>
      </c>
      <c r="B1" s="855"/>
      <c r="C1" s="855"/>
      <c r="D1" s="855"/>
      <c r="E1" s="855"/>
      <c r="F1" s="855"/>
      <c r="G1" s="855"/>
      <c r="H1" s="855"/>
    </row>
    <row r="2" spans="1:16" ht="14.25" customHeight="1">
      <c r="A2" s="858" t="s">
        <v>405</v>
      </c>
      <c r="B2" s="858"/>
      <c r="C2" s="858"/>
      <c r="D2" s="858"/>
      <c r="E2" s="858"/>
      <c r="F2" s="858"/>
      <c r="G2" s="858"/>
    </row>
    <row r="3" spans="1:16" ht="16.5" customHeight="1">
      <c r="A3" s="858"/>
      <c r="B3" s="858"/>
      <c r="C3" s="858"/>
      <c r="D3" s="858"/>
      <c r="E3" s="858"/>
      <c r="F3" s="858"/>
      <c r="G3" s="858"/>
      <c r="H3" s="564" t="s">
        <v>362</v>
      </c>
    </row>
    <row r="4" spans="1:16" ht="6" customHeight="1">
      <c r="A4" s="857"/>
      <c r="B4" s="857"/>
      <c r="C4" s="574"/>
      <c r="D4" s="858"/>
      <c r="E4" s="858"/>
      <c r="F4" s="858"/>
      <c r="G4" s="654"/>
      <c r="H4" s="654"/>
    </row>
    <row r="5" spans="1:16" ht="17.25" customHeight="1" thickBot="1">
      <c r="A5" s="672" t="s">
        <v>414</v>
      </c>
      <c r="B5" s="859" t="s">
        <v>413</v>
      </c>
      <c r="C5" s="859"/>
      <c r="D5" s="565"/>
      <c r="E5" s="565"/>
      <c r="F5" s="856" t="s">
        <v>296</v>
      </c>
      <c r="G5" s="856"/>
      <c r="H5" s="567" t="s">
        <v>71</v>
      </c>
    </row>
    <row r="6" spans="1:16" ht="15" customHeight="1">
      <c r="A6" s="655"/>
      <c r="B6" s="588" t="s">
        <v>64</v>
      </c>
      <c r="C6" s="588" t="s">
        <v>72</v>
      </c>
      <c r="D6" s="588" t="s">
        <v>73</v>
      </c>
      <c r="E6" s="588" t="s">
        <v>74</v>
      </c>
      <c r="F6" s="588" t="s">
        <v>75</v>
      </c>
      <c r="G6" s="588" t="s">
        <v>76</v>
      </c>
      <c r="H6" s="655"/>
    </row>
    <row r="7" spans="1:16" ht="38.25" customHeight="1">
      <c r="A7" s="654"/>
      <c r="B7" s="573" t="s">
        <v>27</v>
      </c>
      <c r="C7" s="571" t="s">
        <v>147</v>
      </c>
      <c r="D7" s="571" t="s">
        <v>132</v>
      </c>
      <c r="E7" s="573" t="s">
        <v>123</v>
      </c>
      <c r="F7" s="573" t="s">
        <v>124</v>
      </c>
      <c r="G7" s="573" t="s">
        <v>312</v>
      </c>
      <c r="H7" s="654"/>
    </row>
    <row r="8" spans="1:16" ht="15" customHeight="1">
      <c r="A8" s="655" t="s">
        <v>77</v>
      </c>
      <c r="B8" s="588" t="s">
        <v>120</v>
      </c>
      <c r="C8" s="569" t="s">
        <v>120</v>
      </c>
      <c r="D8" s="569" t="s">
        <v>120</v>
      </c>
      <c r="E8" s="588" t="s">
        <v>119</v>
      </c>
      <c r="F8" s="588" t="s">
        <v>119</v>
      </c>
      <c r="G8" s="588"/>
      <c r="H8" s="655" t="s">
        <v>25</v>
      </c>
      <c r="N8" s="621"/>
      <c r="P8" s="621"/>
    </row>
    <row r="9" spans="1:16" s="658" customFormat="1" ht="15" customHeight="1">
      <c r="A9" s="586" t="s">
        <v>329</v>
      </c>
      <c r="B9" s="656">
        <v>158</v>
      </c>
      <c r="C9" s="580">
        <v>1562</v>
      </c>
      <c r="D9" s="580">
        <v>0</v>
      </c>
      <c r="E9" s="580">
        <v>44002</v>
      </c>
      <c r="F9" s="656">
        <v>43150</v>
      </c>
      <c r="G9" s="656">
        <v>14676195.300000001</v>
      </c>
      <c r="H9" s="581" t="s">
        <v>379</v>
      </c>
      <c r="I9" s="657"/>
      <c r="J9" s="657"/>
      <c r="L9" s="657"/>
      <c r="M9" s="657"/>
      <c r="N9" s="657"/>
    </row>
    <row r="10" spans="1:16" s="615" customFormat="1" ht="15" customHeight="1">
      <c r="A10" s="588" t="s">
        <v>29</v>
      </c>
      <c r="B10" s="638">
        <v>420</v>
      </c>
      <c r="C10" s="659">
        <v>3537</v>
      </c>
      <c r="D10" s="659">
        <v>4</v>
      </c>
      <c r="E10" s="659">
        <v>111817</v>
      </c>
      <c r="F10" s="638">
        <v>112644</v>
      </c>
      <c r="G10" s="638">
        <v>49686981.75</v>
      </c>
      <c r="H10" s="585" t="s">
        <v>30</v>
      </c>
      <c r="I10" s="650"/>
      <c r="J10" s="657"/>
      <c r="L10" s="650"/>
      <c r="M10" s="650"/>
      <c r="N10" s="650"/>
    </row>
    <row r="11" spans="1:16" s="615" customFormat="1" ht="15" customHeight="1">
      <c r="A11" s="586" t="s">
        <v>3</v>
      </c>
      <c r="B11" s="642">
        <v>792</v>
      </c>
      <c r="C11" s="660">
        <v>5514</v>
      </c>
      <c r="D11" s="660">
        <v>0</v>
      </c>
      <c r="E11" s="660">
        <v>207278</v>
      </c>
      <c r="F11" s="642">
        <v>176857</v>
      </c>
      <c r="G11" s="642">
        <v>53103762</v>
      </c>
      <c r="H11" s="581" t="s">
        <v>15</v>
      </c>
      <c r="I11" s="650"/>
      <c r="J11" s="657"/>
      <c r="L11" s="650"/>
      <c r="N11" s="650"/>
    </row>
    <row r="12" spans="1:16" s="615" customFormat="1" ht="15" customHeight="1">
      <c r="A12" s="588" t="s">
        <v>315</v>
      </c>
      <c r="B12" s="638">
        <v>423</v>
      </c>
      <c r="C12" s="659">
        <v>2569</v>
      </c>
      <c r="D12" s="659">
        <v>0</v>
      </c>
      <c r="E12" s="659">
        <v>116031</v>
      </c>
      <c r="F12" s="638">
        <v>100159</v>
      </c>
      <c r="G12" s="638">
        <v>36612624.612999998</v>
      </c>
      <c r="H12" s="585" t="s">
        <v>316</v>
      </c>
      <c r="I12" s="650"/>
      <c r="J12" s="657"/>
      <c r="L12" s="650"/>
      <c r="N12" s="650"/>
    </row>
    <row r="13" spans="1:16" s="615" customFormat="1" ht="15" customHeight="1">
      <c r="A13" s="586" t="s">
        <v>4</v>
      </c>
      <c r="B13" s="642">
        <v>3500</v>
      </c>
      <c r="C13" s="660">
        <v>29780</v>
      </c>
      <c r="D13" s="660">
        <v>17</v>
      </c>
      <c r="E13" s="660">
        <v>962955</v>
      </c>
      <c r="F13" s="642">
        <v>1173323</v>
      </c>
      <c r="G13" s="642">
        <v>449070068.25</v>
      </c>
      <c r="H13" s="587" t="s">
        <v>16</v>
      </c>
      <c r="I13" s="650"/>
      <c r="J13" s="657"/>
      <c r="L13" s="650"/>
      <c r="N13" s="650"/>
    </row>
    <row r="14" spans="1:16" s="615" customFormat="1" ht="15" customHeight="1">
      <c r="A14" s="588" t="s">
        <v>5</v>
      </c>
      <c r="B14" s="638">
        <v>551</v>
      </c>
      <c r="C14" s="659">
        <v>3871</v>
      </c>
      <c r="D14" s="659">
        <v>0</v>
      </c>
      <c r="E14" s="659">
        <v>143662</v>
      </c>
      <c r="F14" s="638">
        <v>116286</v>
      </c>
      <c r="G14" s="638">
        <v>45284893.5</v>
      </c>
      <c r="H14" s="585" t="s">
        <v>23</v>
      </c>
      <c r="I14" s="650"/>
      <c r="J14" s="657"/>
      <c r="L14" s="650"/>
      <c r="N14" s="650"/>
    </row>
    <row r="15" spans="1:16" s="615" customFormat="1" ht="15" customHeight="1">
      <c r="A15" s="586" t="s">
        <v>6</v>
      </c>
      <c r="B15" s="642">
        <v>1041</v>
      </c>
      <c r="C15" s="660">
        <v>7700</v>
      </c>
      <c r="D15" s="660">
        <v>0</v>
      </c>
      <c r="E15" s="660">
        <v>240263</v>
      </c>
      <c r="F15" s="642">
        <v>252991</v>
      </c>
      <c r="G15" s="642">
        <v>85326768</v>
      </c>
      <c r="H15" s="587" t="s">
        <v>380</v>
      </c>
      <c r="I15" s="650"/>
      <c r="J15" s="657"/>
      <c r="L15" s="650"/>
      <c r="N15" s="650"/>
    </row>
    <row r="16" spans="1:16" s="615" customFormat="1" ht="14.25" customHeight="1">
      <c r="A16" s="588" t="s">
        <v>11</v>
      </c>
      <c r="B16" s="638">
        <v>622</v>
      </c>
      <c r="C16" s="659">
        <v>3881</v>
      </c>
      <c r="D16" s="659">
        <v>0</v>
      </c>
      <c r="E16" s="659">
        <v>157518</v>
      </c>
      <c r="F16" s="638">
        <v>130700</v>
      </c>
      <c r="G16" s="638">
        <v>45745098</v>
      </c>
      <c r="H16" s="585" t="s">
        <v>21</v>
      </c>
      <c r="I16" s="650"/>
      <c r="J16" s="657"/>
      <c r="L16" s="650"/>
      <c r="N16" s="650"/>
    </row>
    <row r="17" spans="1:16" s="665" customFormat="1" ht="15" customHeight="1">
      <c r="A17" s="661" t="s">
        <v>2</v>
      </c>
      <c r="B17" s="662">
        <v>151</v>
      </c>
      <c r="C17" s="663">
        <v>784</v>
      </c>
      <c r="D17" s="663">
        <v>0</v>
      </c>
      <c r="E17" s="663">
        <v>40921</v>
      </c>
      <c r="F17" s="662">
        <v>34036</v>
      </c>
      <c r="G17" s="642">
        <v>10286544</v>
      </c>
      <c r="H17" s="587" t="s">
        <v>14</v>
      </c>
      <c r="I17" s="664"/>
      <c r="J17" s="657"/>
      <c r="L17" s="664"/>
      <c r="N17" s="664"/>
      <c r="O17" s="664"/>
      <c r="P17" s="664"/>
    </row>
    <row r="18" spans="1:16" s="615" customFormat="1" ht="18" customHeight="1">
      <c r="A18" s="588" t="s">
        <v>7</v>
      </c>
      <c r="B18" s="638">
        <v>1148</v>
      </c>
      <c r="C18" s="659">
        <v>7365</v>
      </c>
      <c r="D18" s="659">
        <v>0</v>
      </c>
      <c r="E18" s="659">
        <v>273428</v>
      </c>
      <c r="F18" s="638">
        <v>225416</v>
      </c>
      <c r="G18" s="638">
        <v>107777790</v>
      </c>
      <c r="H18" s="585" t="s">
        <v>17</v>
      </c>
      <c r="I18" s="650"/>
      <c r="J18" s="657"/>
      <c r="L18" s="650"/>
      <c r="N18" s="650"/>
    </row>
    <row r="19" spans="1:16" s="615" customFormat="1" ht="15" customHeight="1">
      <c r="A19" s="586" t="s">
        <v>8</v>
      </c>
      <c r="B19" s="642">
        <v>585</v>
      </c>
      <c r="C19" s="660">
        <v>3553</v>
      </c>
      <c r="D19" s="660">
        <v>0</v>
      </c>
      <c r="E19" s="660">
        <v>152479</v>
      </c>
      <c r="F19" s="642">
        <v>107553</v>
      </c>
      <c r="G19" s="642">
        <v>34690851</v>
      </c>
      <c r="H19" s="587" t="s">
        <v>18</v>
      </c>
      <c r="I19" s="650"/>
      <c r="J19" s="657"/>
      <c r="L19" s="650"/>
      <c r="N19" s="650"/>
    </row>
    <row r="20" spans="1:16" s="615" customFormat="1" ht="15" customHeight="1">
      <c r="A20" s="588" t="s">
        <v>9</v>
      </c>
      <c r="B20" s="638">
        <v>414</v>
      </c>
      <c r="C20" s="659">
        <v>2573</v>
      </c>
      <c r="D20" s="659">
        <v>0</v>
      </c>
      <c r="E20" s="659">
        <v>103801</v>
      </c>
      <c r="F20" s="638">
        <v>79631</v>
      </c>
      <c r="G20" s="638">
        <v>27282704.039999999</v>
      </c>
      <c r="H20" s="585" t="s">
        <v>19</v>
      </c>
      <c r="I20" s="650"/>
      <c r="J20" s="657"/>
      <c r="L20" s="650"/>
      <c r="N20" s="650"/>
    </row>
    <row r="21" spans="1:16" s="615" customFormat="1" ht="15" customHeight="1">
      <c r="A21" s="586" t="s">
        <v>10</v>
      </c>
      <c r="B21" s="642">
        <v>665</v>
      </c>
      <c r="C21" s="660">
        <v>4040</v>
      </c>
      <c r="D21" s="660">
        <v>0</v>
      </c>
      <c r="E21" s="660">
        <v>159150</v>
      </c>
      <c r="F21" s="642">
        <v>127822</v>
      </c>
      <c r="G21" s="642">
        <v>32180306</v>
      </c>
      <c r="H21" s="587" t="s">
        <v>20</v>
      </c>
      <c r="I21" s="650"/>
      <c r="J21" s="657"/>
      <c r="L21" s="650"/>
      <c r="N21" s="650"/>
    </row>
    <row r="22" spans="1:16" s="615" customFormat="1" ht="15" customHeight="1">
      <c r="A22" s="588" t="s">
        <v>12</v>
      </c>
      <c r="B22" s="638">
        <v>210</v>
      </c>
      <c r="C22" s="659">
        <v>937</v>
      </c>
      <c r="D22" s="659">
        <v>0</v>
      </c>
      <c r="E22" s="659">
        <v>49101</v>
      </c>
      <c r="F22" s="638">
        <v>34101</v>
      </c>
      <c r="G22" s="638">
        <v>13745668.75</v>
      </c>
      <c r="H22" s="585" t="s">
        <v>24</v>
      </c>
      <c r="I22" s="650"/>
      <c r="J22" s="657"/>
      <c r="L22" s="650"/>
      <c r="N22" s="650"/>
    </row>
    <row r="23" spans="1:16" s="615" customFormat="1" ht="14.25" customHeight="1" thickBot="1">
      <c r="A23" s="586" t="s">
        <v>13</v>
      </c>
      <c r="B23" s="642">
        <v>948</v>
      </c>
      <c r="C23" s="660">
        <v>5662</v>
      </c>
      <c r="D23" s="660">
        <v>0</v>
      </c>
      <c r="E23" s="660">
        <v>234222</v>
      </c>
      <c r="F23" s="642">
        <v>261490</v>
      </c>
      <c r="G23" s="642">
        <v>104007776.5</v>
      </c>
      <c r="H23" s="587" t="s">
        <v>22</v>
      </c>
      <c r="I23" s="650"/>
      <c r="J23" s="657"/>
      <c r="K23" s="650"/>
      <c r="L23" s="650"/>
      <c r="N23" s="650"/>
    </row>
    <row r="24" spans="1:16" s="669" customFormat="1" ht="15" customHeight="1" thickBot="1">
      <c r="A24" s="666" t="s">
        <v>0</v>
      </c>
      <c r="B24" s="667">
        <f t="shared" ref="B24:G24" si="0">SUM(B9:B23)</f>
        <v>11628</v>
      </c>
      <c r="C24" s="667">
        <f t="shared" si="0"/>
        <v>83328</v>
      </c>
      <c r="D24" s="667">
        <f t="shared" si="0"/>
        <v>21</v>
      </c>
      <c r="E24" s="667">
        <f t="shared" si="0"/>
        <v>2996628</v>
      </c>
      <c r="F24" s="667">
        <f t="shared" si="0"/>
        <v>2976159</v>
      </c>
      <c r="G24" s="667">
        <f t="shared" si="0"/>
        <v>1109478031.7030001</v>
      </c>
      <c r="H24" s="668" t="s">
        <v>1</v>
      </c>
      <c r="L24" s="670"/>
      <c r="N24" s="670"/>
      <c r="P24" s="670"/>
    </row>
    <row r="25" spans="1:16" ht="18" customHeight="1">
      <c r="A25" s="854"/>
      <c r="B25" s="854"/>
      <c r="C25" s="854"/>
      <c r="D25" s="854"/>
      <c r="L25" s="599"/>
      <c r="N25" s="599"/>
      <c r="P25" s="599"/>
    </row>
    <row r="26" spans="1:16" ht="15.75" customHeight="1">
      <c r="C26" s="626"/>
      <c r="D26" s="626"/>
      <c r="E26" s="626"/>
      <c r="F26" s="626"/>
      <c r="G26" s="626"/>
      <c r="P26" s="599"/>
    </row>
    <row r="27" spans="1:16" ht="16.5" customHeight="1">
      <c r="D27" s="599"/>
      <c r="E27" s="599"/>
    </row>
  </sheetData>
  <mergeCells count="7">
    <mergeCell ref="A25:D25"/>
    <mergeCell ref="A1:H1"/>
    <mergeCell ref="F5:G5"/>
    <mergeCell ref="A4:B4"/>
    <mergeCell ref="D4:F4"/>
    <mergeCell ref="A2:G3"/>
    <mergeCell ref="B5:C5"/>
  </mergeCells>
  <phoneticPr fontId="3" type="noConversion"/>
  <printOptions horizontalCentered="1" verticalCentered="1"/>
  <pageMargins left="0.23622047244094491" right="1.25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J29"/>
  <sheetViews>
    <sheetView rightToLeft="1" zoomScale="80" zoomScaleNormal="80" zoomScaleSheetLayoutView="106" workbookViewId="0">
      <selection activeCell="A4" sqref="A4:B4"/>
    </sheetView>
  </sheetViews>
  <sheetFormatPr defaultRowHeight="12.75"/>
  <cols>
    <col min="1" max="1" width="11.140625" customWidth="1"/>
    <col min="2" max="2" width="11.7109375" customWidth="1"/>
    <col min="3" max="3" width="14" customWidth="1"/>
    <col min="4" max="4" width="16.28515625" customWidth="1"/>
    <col min="5" max="5" width="15.140625" customWidth="1"/>
    <col min="6" max="6" width="14.140625" customWidth="1"/>
    <col min="7" max="7" width="15.140625" customWidth="1"/>
    <col min="8" max="8" width="16.85546875" customWidth="1"/>
    <col min="9" max="18" width="10.7109375" customWidth="1"/>
  </cols>
  <sheetData>
    <row r="1" spans="1:10" ht="15" customHeight="1">
      <c r="A1" s="855" t="s">
        <v>466</v>
      </c>
      <c r="B1" s="855"/>
      <c r="C1" s="855"/>
      <c r="D1" s="855"/>
      <c r="E1" s="855"/>
      <c r="F1" s="855"/>
      <c r="G1" s="855"/>
      <c r="H1" s="855"/>
    </row>
    <row r="2" spans="1:10" ht="17.25" customHeight="1">
      <c r="A2" s="845" t="s">
        <v>384</v>
      </c>
      <c r="B2" s="845"/>
      <c r="C2" s="845"/>
      <c r="D2" s="845"/>
      <c r="E2" s="845"/>
      <c r="F2" s="845"/>
      <c r="G2" s="845"/>
      <c r="H2" s="845"/>
    </row>
    <row r="3" spans="1:10" s="4" customFormat="1" ht="27" customHeight="1">
      <c r="A3" s="135"/>
      <c r="B3" s="135"/>
      <c r="C3" s="135"/>
      <c r="D3" s="135"/>
      <c r="E3" s="135"/>
      <c r="F3" s="135"/>
      <c r="G3" s="135"/>
      <c r="H3" s="165"/>
    </row>
    <row r="4" spans="1:10" ht="31.5" customHeight="1" thickBot="1">
      <c r="A4" s="866" t="s">
        <v>456</v>
      </c>
      <c r="B4" s="866"/>
      <c r="C4" s="80" t="s">
        <v>346</v>
      </c>
      <c r="D4" s="11"/>
      <c r="E4" s="11"/>
      <c r="F4" s="955" t="s">
        <v>164</v>
      </c>
      <c r="G4" s="955"/>
      <c r="H4" s="149" t="s">
        <v>461</v>
      </c>
    </row>
    <row r="5" spans="1:10" ht="15" customHeight="1">
      <c r="A5" s="23"/>
      <c r="B5" s="952" t="s">
        <v>62</v>
      </c>
      <c r="C5" s="952"/>
      <c r="D5" s="110" t="s">
        <v>159</v>
      </c>
      <c r="E5" s="110"/>
      <c r="F5" s="394" t="s">
        <v>63</v>
      </c>
      <c r="G5" s="78"/>
      <c r="H5" s="23"/>
    </row>
    <row r="6" spans="1:10" s="4" customFormat="1" ht="15" customHeight="1">
      <c r="A6" s="27"/>
      <c r="B6" s="953" t="s">
        <v>307</v>
      </c>
      <c r="C6" s="953"/>
      <c r="D6" s="32" t="s">
        <v>235</v>
      </c>
      <c r="E6" s="32"/>
      <c r="F6" s="392" t="s">
        <v>282</v>
      </c>
      <c r="G6" s="18"/>
      <c r="H6" s="27"/>
    </row>
    <row r="7" spans="1:10" ht="15" customHeight="1" thickBot="1">
      <c r="A7" s="219"/>
      <c r="B7" s="218" t="s">
        <v>64</v>
      </c>
      <c r="C7" s="218" t="s">
        <v>216</v>
      </c>
      <c r="D7" s="218" t="s">
        <v>227</v>
      </c>
      <c r="E7" s="218" t="s">
        <v>216</v>
      </c>
      <c r="F7" s="218" t="s">
        <v>182</v>
      </c>
      <c r="G7" s="218" t="s">
        <v>216</v>
      </c>
      <c r="H7" s="219"/>
    </row>
    <row r="8" spans="1:10" ht="15" customHeight="1" thickBot="1">
      <c r="A8" s="197" t="s">
        <v>47</v>
      </c>
      <c r="B8" s="189" t="s">
        <v>120</v>
      </c>
      <c r="C8" s="347" t="s">
        <v>28</v>
      </c>
      <c r="D8" s="347" t="s">
        <v>228</v>
      </c>
      <c r="E8" s="347" t="s">
        <v>28</v>
      </c>
      <c r="F8" s="347" t="s">
        <v>229</v>
      </c>
      <c r="G8" s="347" t="s">
        <v>28</v>
      </c>
      <c r="H8" s="197" t="s">
        <v>25</v>
      </c>
    </row>
    <row r="9" spans="1:10" s="312" customFormat="1" ht="15" customHeight="1">
      <c r="A9" s="348" t="s">
        <v>329</v>
      </c>
      <c r="B9" s="334">
        <v>2280</v>
      </c>
      <c r="C9" s="334">
        <f>B9*40</f>
        <v>91200</v>
      </c>
      <c r="D9" s="334">
        <v>88063</v>
      </c>
      <c r="E9" s="335">
        <f>D9*9</f>
        <v>792567</v>
      </c>
      <c r="F9" s="335">
        <v>153</v>
      </c>
      <c r="G9" s="334">
        <f>F9*575</f>
        <v>87975</v>
      </c>
      <c r="H9" s="349" t="s">
        <v>379</v>
      </c>
    </row>
    <row r="10" spans="1:10" s="167" customFormat="1" ht="15" customHeight="1">
      <c r="A10" s="313" t="s">
        <v>29</v>
      </c>
      <c r="B10" s="293">
        <v>10874</v>
      </c>
      <c r="C10" s="293">
        <f>B10*33</f>
        <v>358842</v>
      </c>
      <c r="D10" s="293">
        <v>72457</v>
      </c>
      <c r="E10" s="293">
        <f>D10*8</f>
        <v>579656</v>
      </c>
      <c r="F10" s="294">
        <v>498</v>
      </c>
      <c r="G10" s="293">
        <f>F10*450</f>
        <v>224100</v>
      </c>
      <c r="H10" s="300" t="s">
        <v>30</v>
      </c>
      <c r="J10" s="312"/>
    </row>
    <row r="11" spans="1:10" s="167" customFormat="1" ht="15" customHeight="1">
      <c r="A11" s="350" t="s">
        <v>3</v>
      </c>
      <c r="B11" s="334">
        <v>11464</v>
      </c>
      <c r="C11" s="334">
        <f>B11*25</f>
        <v>286600</v>
      </c>
      <c r="D11" s="334">
        <v>61557</v>
      </c>
      <c r="E11" s="335">
        <f>D11*7</f>
        <v>430899</v>
      </c>
      <c r="F11" s="335">
        <v>0</v>
      </c>
      <c r="G11" s="335">
        <v>0</v>
      </c>
      <c r="H11" s="339" t="s">
        <v>15</v>
      </c>
      <c r="J11" s="312"/>
    </row>
    <row r="12" spans="1:10" s="167" customFormat="1" ht="15" customHeight="1">
      <c r="A12" s="313" t="s">
        <v>320</v>
      </c>
      <c r="B12" s="293">
        <v>3928</v>
      </c>
      <c r="C12" s="293">
        <f>B12*50</f>
        <v>196400</v>
      </c>
      <c r="D12" s="293">
        <v>39700</v>
      </c>
      <c r="E12" s="293">
        <f>D12*5</f>
        <v>198500</v>
      </c>
      <c r="F12" s="294">
        <v>0</v>
      </c>
      <c r="G12" s="294">
        <v>0</v>
      </c>
      <c r="H12" s="300" t="s">
        <v>316</v>
      </c>
      <c r="J12" s="312"/>
    </row>
    <row r="13" spans="1:10" s="167" customFormat="1" ht="15" customHeight="1">
      <c r="A13" s="350" t="s">
        <v>4</v>
      </c>
      <c r="B13" s="334">
        <v>50883</v>
      </c>
      <c r="C13" s="334">
        <f>B13*35</f>
        <v>1780905</v>
      </c>
      <c r="D13" s="334">
        <v>154224</v>
      </c>
      <c r="E13" s="335">
        <f>D13*5</f>
        <v>771120</v>
      </c>
      <c r="F13" s="335">
        <v>0</v>
      </c>
      <c r="G13" s="335">
        <v>0</v>
      </c>
      <c r="H13" s="339" t="s">
        <v>16</v>
      </c>
      <c r="J13" s="312"/>
    </row>
    <row r="14" spans="1:10" s="167" customFormat="1" ht="15" customHeight="1">
      <c r="A14" s="313" t="s">
        <v>5</v>
      </c>
      <c r="B14" s="293">
        <v>11410</v>
      </c>
      <c r="C14" s="293">
        <f>B14*31</f>
        <v>353710</v>
      </c>
      <c r="D14" s="293">
        <v>77394</v>
      </c>
      <c r="E14" s="293">
        <f>D14*6</f>
        <v>464364</v>
      </c>
      <c r="F14" s="294">
        <v>0</v>
      </c>
      <c r="G14" s="294">
        <v>0</v>
      </c>
      <c r="H14" s="300" t="s">
        <v>23</v>
      </c>
      <c r="J14" s="312"/>
    </row>
    <row r="15" spans="1:10" s="167" customFormat="1" ht="15" customHeight="1">
      <c r="A15" s="350" t="s">
        <v>6</v>
      </c>
      <c r="B15" s="334">
        <v>15728</v>
      </c>
      <c r="C15" s="334">
        <f>B15*35</f>
        <v>550480</v>
      </c>
      <c r="D15" s="334">
        <v>27242</v>
      </c>
      <c r="E15" s="335">
        <f>D15*4</f>
        <v>108968</v>
      </c>
      <c r="F15" s="335">
        <v>0</v>
      </c>
      <c r="G15" s="335">
        <v>0</v>
      </c>
      <c r="H15" s="339" t="s">
        <v>380</v>
      </c>
      <c r="J15" s="312"/>
    </row>
    <row r="16" spans="1:10" s="167" customFormat="1" ht="15" customHeight="1">
      <c r="A16" s="313" t="s">
        <v>11</v>
      </c>
      <c r="B16" s="293">
        <v>12705</v>
      </c>
      <c r="C16" s="293">
        <f>B16*22</f>
        <v>279510</v>
      </c>
      <c r="D16" s="293">
        <v>50384</v>
      </c>
      <c r="E16" s="293">
        <f>D16*4</f>
        <v>201536</v>
      </c>
      <c r="F16" s="294">
        <v>0</v>
      </c>
      <c r="G16" s="294">
        <v>0</v>
      </c>
      <c r="H16" s="300" t="s">
        <v>21</v>
      </c>
      <c r="J16" s="312"/>
    </row>
    <row r="17" spans="1:10" s="167" customFormat="1" ht="15" customHeight="1">
      <c r="A17" s="350" t="s">
        <v>2</v>
      </c>
      <c r="B17" s="334">
        <v>1546</v>
      </c>
      <c r="C17" s="334">
        <f>B17*30</f>
        <v>46380</v>
      </c>
      <c r="D17" s="334">
        <v>13007</v>
      </c>
      <c r="E17" s="335">
        <f>D17*6</f>
        <v>78042</v>
      </c>
      <c r="F17" s="335">
        <v>0</v>
      </c>
      <c r="G17" s="335">
        <v>0</v>
      </c>
      <c r="H17" s="339" t="s">
        <v>14</v>
      </c>
      <c r="J17" s="312"/>
    </row>
    <row r="18" spans="1:10" s="167" customFormat="1" ht="15" customHeight="1">
      <c r="A18" s="313" t="s">
        <v>7</v>
      </c>
      <c r="B18" s="293">
        <v>20618</v>
      </c>
      <c r="C18" s="783">
        <f>B18*26</f>
        <v>536068</v>
      </c>
      <c r="D18" s="293">
        <v>31740</v>
      </c>
      <c r="E18" s="293">
        <f>D18*4</f>
        <v>126960</v>
      </c>
      <c r="F18" s="294">
        <v>0</v>
      </c>
      <c r="G18" s="294">
        <v>0</v>
      </c>
      <c r="H18" s="300" t="s">
        <v>17</v>
      </c>
      <c r="J18" s="312"/>
    </row>
    <row r="19" spans="1:10" s="167" customFormat="1" ht="15" customHeight="1">
      <c r="A19" s="350" t="s">
        <v>8</v>
      </c>
      <c r="B19" s="334">
        <v>16025</v>
      </c>
      <c r="C19" s="334">
        <f>B19*25</f>
        <v>400625</v>
      </c>
      <c r="D19" s="334">
        <v>108833</v>
      </c>
      <c r="E19" s="334">
        <f t="shared" ref="E19:E22" si="0">D19*4</f>
        <v>435332</v>
      </c>
      <c r="F19" s="335">
        <v>0</v>
      </c>
      <c r="G19" s="335">
        <v>0</v>
      </c>
      <c r="H19" s="339" t="s">
        <v>18</v>
      </c>
      <c r="J19" s="312"/>
    </row>
    <row r="20" spans="1:10" s="167" customFormat="1" ht="15" customHeight="1">
      <c r="A20" s="313" t="s">
        <v>9</v>
      </c>
      <c r="B20" s="293">
        <v>6772</v>
      </c>
      <c r="C20" s="293">
        <f>B20*25</f>
        <v>169300</v>
      </c>
      <c r="D20" s="293">
        <v>81757</v>
      </c>
      <c r="E20" s="293">
        <f t="shared" si="0"/>
        <v>327028</v>
      </c>
      <c r="F20" s="294">
        <v>0</v>
      </c>
      <c r="G20" s="294">
        <v>0</v>
      </c>
      <c r="H20" s="300" t="s">
        <v>19</v>
      </c>
      <c r="J20" s="312"/>
    </row>
    <row r="21" spans="1:10" s="167" customFormat="1" ht="15" customHeight="1">
      <c r="A21" s="350" t="s">
        <v>10</v>
      </c>
      <c r="B21" s="334">
        <v>7102</v>
      </c>
      <c r="C21" s="334">
        <f>B21*27</f>
        <v>191754</v>
      </c>
      <c r="D21" s="334">
        <v>134040</v>
      </c>
      <c r="E21" s="334">
        <f t="shared" si="0"/>
        <v>536160</v>
      </c>
      <c r="F21" s="335">
        <v>0</v>
      </c>
      <c r="G21" s="335">
        <v>0</v>
      </c>
      <c r="H21" s="339" t="s">
        <v>20</v>
      </c>
      <c r="J21" s="312"/>
    </row>
    <row r="22" spans="1:10" s="167" customFormat="1" ht="15" customHeight="1">
      <c r="A22" s="313" t="s">
        <v>12</v>
      </c>
      <c r="B22" s="293">
        <v>30399</v>
      </c>
      <c r="C22" s="293">
        <f>B22*25</f>
        <v>759975</v>
      </c>
      <c r="D22" s="293">
        <v>254560</v>
      </c>
      <c r="E22" s="293">
        <f t="shared" si="0"/>
        <v>1018240</v>
      </c>
      <c r="F22" s="294">
        <v>0</v>
      </c>
      <c r="G22" s="294">
        <v>0</v>
      </c>
      <c r="H22" s="300" t="s">
        <v>24</v>
      </c>
      <c r="J22" s="312"/>
    </row>
    <row r="23" spans="1:10" s="167" customFormat="1" ht="15" customHeight="1" thickBot="1">
      <c r="A23" s="350" t="s">
        <v>13</v>
      </c>
      <c r="B23" s="334">
        <v>5136</v>
      </c>
      <c r="C23" s="334">
        <f>B23*26</f>
        <v>133536</v>
      </c>
      <c r="D23" s="334">
        <v>34948</v>
      </c>
      <c r="E23" s="335">
        <f>D23*5</f>
        <v>174740</v>
      </c>
      <c r="F23" s="335">
        <v>0</v>
      </c>
      <c r="G23" s="335">
        <v>0</v>
      </c>
      <c r="H23" s="339" t="s">
        <v>22</v>
      </c>
      <c r="J23" s="312"/>
    </row>
    <row r="24" spans="1:10" s="111" customFormat="1" ht="15.75" customHeight="1" thickBot="1">
      <c r="A24" s="504" t="s">
        <v>0</v>
      </c>
      <c r="B24" s="503">
        <f>SUM(B9:B23)</f>
        <v>206870</v>
      </c>
      <c r="C24" s="503">
        <f t="shared" ref="C24:G24" si="1">SUM(C9:C23)</f>
        <v>6135285</v>
      </c>
      <c r="D24" s="503">
        <f t="shared" si="1"/>
        <v>1229906</v>
      </c>
      <c r="E24" s="503">
        <f t="shared" si="1"/>
        <v>6244112</v>
      </c>
      <c r="F24" s="503">
        <f t="shared" si="1"/>
        <v>651</v>
      </c>
      <c r="G24" s="503">
        <f t="shared" si="1"/>
        <v>312075</v>
      </c>
      <c r="H24" s="503" t="s">
        <v>1</v>
      </c>
    </row>
    <row r="25" spans="1:10" s="4" customFormat="1" ht="15.75" customHeight="1">
      <c r="A25" s="891"/>
      <c r="B25" s="891"/>
      <c r="C25" s="891"/>
      <c r="D25" s="891"/>
      <c r="E25" s="891"/>
      <c r="F25" s="891"/>
      <c r="G25" s="598"/>
      <c r="H25" s="595"/>
      <c r="I25" s="593"/>
      <c r="J25" s="593"/>
    </row>
    <row r="26" spans="1:10" ht="14.25">
      <c r="A26" s="593"/>
      <c r="B26" s="593"/>
      <c r="C26" s="593"/>
      <c r="D26" s="593"/>
      <c r="E26" s="593"/>
      <c r="F26" s="599"/>
      <c r="G26" s="599"/>
      <c r="H26" s="596"/>
      <c r="I26" s="593"/>
      <c r="J26" s="593"/>
    </row>
    <row r="27" spans="1:10" ht="15" customHeight="1">
      <c r="A27" s="912"/>
      <c r="B27" s="912"/>
      <c r="C27" s="593"/>
      <c r="D27" s="593"/>
      <c r="E27" s="593"/>
      <c r="F27" s="599"/>
      <c r="G27" s="593"/>
      <c r="H27" s="597"/>
      <c r="I27" s="595"/>
      <c r="J27" s="593"/>
    </row>
    <row r="28" spans="1:10">
      <c r="B28" s="4"/>
    </row>
    <row r="29" spans="1:10">
      <c r="G29" s="2"/>
    </row>
  </sheetData>
  <mergeCells count="8">
    <mergeCell ref="A27:B27"/>
    <mergeCell ref="A1:H1"/>
    <mergeCell ref="A2:H2"/>
    <mergeCell ref="F4:G4"/>
    <mergeCell ref="A4:B4"/>
    <mergeCell ref="B5:C5"/>
    <mergeCell ref="B6:C6"/>
    <mergeCell ref="A25:F25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  <ignoredErrors>
    <ignoredError sqref="C14 C21 E17" 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0"/>
  <sheetViews>
    <sheetView rightToLeft="1" zoomScale="80" zoomScaleNormal="80" zoomScaleSheetLayoutView="100" workbookViewId="0">
      <selection activeCell="A4" sqref="A4:B4"/>
    </sheetView>
  </sheetViews>
  <sheetFormatPr defaultRowHeight="12.75"/>
  <cols>
    <col min="1" max="1" width="9.85546875" customWidth="1"/>
    <col min="2" max="2" width="9.140625" customWidth="1"/>
    <col min="3" max="3" width="11.42578125" customWidth="1"/>
    <col min="4" max="4" width="8.42578125" bestFit="1" customWidth="1"/>
    <col min="5" max="5" width="11.28515625" bestFit="1" customWidth="1"/>
    <col min="6" max="6" width="10.42578125" customWidth="1"/>
    <col min="7" max="7" width="12.5703125" customWidth="1"/>
    <col min="8" max="8" width="14.28515625" style="4" bestFit="1" customWidth="1"/>
    <col min="9" max="9" width="16" bestFit="1" customWidth="1"/>
    <col min="10" max="10" width="7.85546875" customWidth="1"/>
  </cols>
  <sheetData>
    <row r="1" spans="1:11" ht="25.5" customHeight="1">
      <c r="A1" s="855" t="s">
        <v>466</v>
      </c>
      <c r="B1" s="855"/>
      <c r="C1" s="855"/>
      <c r="D1" s="855"/>
      <c r="E1" s="855"/>
      <c r="F1" s="855"/>
      <c r="G1" s="855"/>
      <c r="H1" s="855"/>
      <c r="I1" s="855"/>
    </row>
    <row r="2" spans="1:11" s="4" customFormat="1" ht="1.5" customHeight="1">
      <c r="A2" s="507"/>
      <c r="B2" s="507"/>
      <c r="C2" s="507"/>
      <c r="D2" s="507"/>
      <c r="E2" s="507"/>
      <c r="F2" s="507"/>
      <c r="G2" s="507"/>
      <c r="H2" s="507"/>
      <c r="I2" s="507"/>
    </row>
    <row r="3" spans="1:11" ht="24.75" customHeight="1">
      <c r="A3" s="845" t="s">
        <v>383</v>
      </c>
      <c r="B3" s="845"/>
      <c r="C3" s="845"/>
      <c r="D3" s="845"/>
      <c r="E3" s="845"/>
      <c r="F3" s="845"/>
      <c r="G3" s="845"/>
      <c r="H3" s="845"/>
      <c r="I3" s="845"/>
    </row>
    <row r="4" spans="1:11" ht="24.75" customHeight="1" thickBot="1">
      <c r="A4" s="866" t="s">
        <v>456</v>
      </c>
      <c r="B4" s="866"/>
      <c r="C4" s="958" t="s">
        <v>163</v>
      </c>
      <c r="D4" s="958"/>
      <c r="E4" s="958"/>
      <c r="F4" s="951" t="s">
        <v>164</v>
      </c>
      <c r="G4" s="951"/>
      <c r="H4" s="951"/>
      <c r="I4" s="149" t="s">
        <v>461</v>
      </c>
    </row>
    <row r="5" spans="1:11" ht="21" customHeight="1">
      <c r="A5" s="23"/>
      <c r="B5" s="952" t="s">
        <v>230</v>
      </c>
      <c r="C5" s="952"/>
      <c r="D5" s="952" t="s">
        <v>231</v>
      </c>
      <c r="E5" s="952"/>
      <c r="F5" s="952" t="s">
        <v>237</v>
      </c>
      <c r="G5" s="952"/>
      <c r="H5" s="505"/>
      <c r="I5" s="23"/>
    </row>
    <row r="6" spans="1:11" s="111" customFormat="1" ht="15">
      <c r="A6" s="113"/>
      <c r="B6" s="957" t="s">
        <v>236</v>
      </c>
      <c r="C6" s="957"/>
      <c r="D6" s="957" t="s">
        <v>265</v>
      </c>
      <c r="E6" s="957"/>
      <c r="F6" s="956" t="s">
        <v>308</v>
      </c>
      <c r="G6" s="956"/>
      <c r="H6" s="506"/>
      <c r="I6" s="35" t="s">
        <v>194</v>
      </c>
      <c r="J6" s="146"/>
    </row>
    <row r="7" spans="1:11" ht="30.75" thickBot="1">
      <c r="A7" s="113"/>
      <c r="B7" s="217" t="s">
        <v>177</v>
      </c>
      <c r="C7" s="217" t="s">
        <v>216</v>
      </c>
      <c r="D7" s="217" t="s">
        <v>39</v>
      </c>
      <c r="E7" s="217" t="s">
        <v>216</v>
      </c>
      <c r="F7" s="217" t="s">
        <v>177</v>
      </c>
      <c r="G7" s="217" t="s">
        <v>216</v>
      </c>
      <c r="H7" s="393" t="s">
        <v>359</v>
      </c>
      <c r="I7" s="26"/>
    </row>
    <row r="8" spans="1:11" s="2" customFormat="1" ht="29.25" customHeight="1" thickBot="1">
      <c r="A8" s="197" t="s">
        <v>47</v>
      </c>
      <c r="B8" s="189" t="s">
        <v>119</v>
      </c>
      <c r="C8" s="347"/>
      <c r="D8" s="347" t="s">
        <v>40</v>
      </c>
      <c r="E8" s="347" t="s">
        <v>175</v>
      </c>
      <c r="F8" s="347" t="s">
        <v>119</v>
      </c>
      <c r="G8" s="347" t="s">
        <v>175</v>
      </c>
      <c r="H8" s="387" t="s">
        <v>175</v>
      </c>
      <c r="I8" s="351" t="s">
        <v>25</v>
      </c>
    </row>
    <row r="9" spans="1:11" s="240" customFormat="1" ht="15">
      <c r="A9" s="378" t="s">
        <v>329</v>
      </c>
      <c r="B9" s="379">
        <v>30</v>
      </c>
      <c r="C9" s="379">
        <f>B9*12</f>
        <v>360</v>
      </c>
      <c r="D9" s="334">
        <v>5727</v>
      </c>
      <c r="E9" s="334">
        <f>D9*25</f>
        <v>143175</v>
      </c>
      <c r="F9" s="379">
        <v>0</v>
      </c>
      <c r="G9" s="379">
        <v>0</v>
      </c>
      <c r="H9" s="339">
        <f>'مواد انشائيه1'!C9+'مواد انشائيه1'!E9+'مواد انشائيه1'!G9+'مواد انشائيه2'!C9+'مواد انشائيه2'!E9+'مواد انشائيه2'!G9+'مواد انشائيه2'!I9+'مواد انشائيه3'!C9+'مواد انشائيه3'!E9+'مواد انشائيه3'!G9+'مواد انشائيه4'!C9+'مواد انشائيه4'!E9+'مواد انشائيه4'!G9</f>
        <v>2091247</v>
      </c>
      <c r="I9" s="380" t="s">
        <v>379</v>
      </c>
      <c r="J9" s="381"/>
      <c r="K9" s="381"/>
    </row>
    <row r="10" spans="1:11" s="167" customFormat="1" ht="15" customHeight="1">
      <c r="A10" s="388" t="s">
        <v>29</v>
      </c>
      <c r="B10" s="389">
        <v>0</v>
      </c>
      <c r="C10" s="389">
        <v>0</v>
      </c>
      <c r="D10" s="366">
        <v>5594</v>
      </c>
      <c r="E10" s="366">
        <f>D10*25</f>
        <v>139850</v>
      </c>
      <c r="F10" s="389">
        <v>0</v>
      </c>
      <c r="G10" s="389">
        <v>0</v>
      </c>
      <c r="H10" s="366">
        <f>'مواد انشائيه1'!C10+'مواد انشائيه1'!E10+'مواد انشائيه1'!G10+'مواد انشائيه2'!C10+'مواد انشائيه2'!E10+'مواد انشائيه2'!G10+'مواد انشائيه2'!I10+'مواد انشائيه3'!C10+'مواد انشائيه3'!E10+'مواد انشائيه3'!G10+'مواد انشائيه4'!C10+'مواد انشائيه4'!E10+'مواد انشائيه4'!G10</f>
        <v>2498996</v>
      </c>
      <c r="I10" s="390" t="s">
        <v>30</v>
      </c>
      <c r="J10" s="382"/>
      <c r="K10" s="382"/>
    </row>
    <row r="11" spans="1:11" s="167" customFormat="1" ht="15" customHeight="1">
      <c r="A11" s="378" t="s">
        <v>3</v>
      </c>
      <c r="B11" s="379">
        <v>0</v>
      </c>
      <c r="C11" s="379">
        <v>0</v>
      </c>
      <c r="D11" s="334">
        <v>1270</v>
      </c>
      <c r="E11" s="334">
        <f>D11*20</f>
        <v>25400</v>
      </c>
      <c r="F11" s="379">
        <v>1563</v>
      </c>
      <c r="G11" s="383">
        <f>F11*47</f>
        <v>73461</v>
      </c>
      <c r="H11" s="339">
        <f>'مواد انشائيه1'!C11+'مواد انشائيه1'!E11+'مواد انشائيه1'!G11+'مواد انشائيه2'!C11+'مواد انشائيه2'!E11+'مواد انشائيه2'!G11+'مواد انشائيه2'!I11+'مواد انشائيه3'!C11+'مواد انشائيه3'!E11+'مواد انشائيه3'!G11+'مواد انشائيه4'!C11+'مواد انشائيه4'!E11+'مواد انشائيه4'!G11</f>
        <v>4790777</v>
      </c>
      <c r="I11" s="380" t="s">
        <v>15</v>
      </c>
      <c r="J11" s="382"/>
      <c r="K11" s="382"/>
    </row>
    <row r="12" spans="1:11" s="167" customFormat="1" ht="15" customHeight="1">
      <c r="A12" s="388" t="s">
        <v>320</v>
      </c>
      <c r="B12" s="389">
        <v>0</v>
      </c>
      <c r="C12" s="389">
        <v>0</v>
      </c>
      <c r="D12" s="366">
        <v>0</v>
      </c>
      <c r="E12" s="366">
        <v>0</v>
      </c>
      <c r="F12" s="389">
        <v>0</v>
      </c>
      <c r="G12" s="389">
        <v>0</v>
      </c>
      <c r="H12" s="366">
        <f>'مواد انشائيه1'!C12+'مواد انشائيه1'!E12+'مواد انشائيه1'!G12+'مواد انشائيه2'!C12+'مواد انشائيه2'!E12+'مواد انشائيه2'!G12+'مواد انشائيه2'!I12+'مواد انشائيه3'!C12+'مواد انشائيه3'!E12+'مواد انشائيه3'!G12+'مواد انشائيه4'!C12+'مواد انشائيه4'!E12+'مواد انشائيه4'!G12</f>
        <v>1590604</v>
      </c>
      <c r="I12" s="390" t="s">
        <v>316</v>
      </c>
      <c r="J12" s="382"/>
      <c r="K12" s="382"/>
    </row>
    <row r="13" spans="1:11" s="167" customFormat="1" ht="15" customHeight="1">
      <c r="A13" s="378" t="s">
        <v>4</v>
      </c>
      <c r="B13" s="379">
        <v>62228</v>
      </c>
      <c r="C13" s="379">
        <f>B13*14</f>
        <v>871192</v>
      </c>
      <c r="D13" s="334">
        <v>51355</v>
      </c>
      <c r="E13" s="334">
        <f>D13*25</f>
        <v>1283875</v>
      </c>
      <c r="F13" s="379">
        <v>53719</v>
      </c>
      <c r="G13" s="383">
        <f>F13*44</f>
        <v>2363636</v>
      </c>
      <c r="H13" s="339">
        <f>'مواد انشائيه1'!C13+'مواد انشائيه1'!E13+'مواد انشائيه1'!G13+'مواد انشائيه2'!C13+'مواد انشائيه2'!E13+'مواد انشائيه2'!G13+'مواد انشائيه2'!I13+'مواد انشائيه3'!C13+'مواد انشائيه3'!E13+'مواد انشائيه3'!G13+'مواد انشائيه4'!C13+'مواد انشائيه4'!E13+'مواد انشائيه4'!G13</f>
        <v>112801035</v>
      </c>
      <c r="I13" s="380" t="s">
        <v>16</v>
      </c>
      <c r="J13" s="382"/>
      <c r="K13" s="382"/>
    </row>
    <row r="14" spans="1:11" s="167" customFormat="1" ht="14.25" customHeight="1">
      <c r="A14" s="388" t="s">
        <v>5</v>
      </c>
      <c r="B14" s="389">
        <v>0</v>
      </c>
      <c r="C14" s="389">
        <v>0</v>
      </c>
      <c r="D14" s="366">
        <v>0</v>
      </c>
      <c r="E14" s="366">
        <v>0</v>
      </c>
      <c r="F14" s="389">
        <v>0</v>
      </c>
      <c r="G14" s="389">
        <v>0</v>
      </c>
      <c r="H14" s="366">
        <f>'مواد انشائيه1'!C14+'مواد انشائيه1'!E14+'مواد انشائيه1'!G14+'مواد انشائيه2'!C14+'مواد انشائيه2'!E14+'مواد انشائيه2'!G14+'مواد انشائيه2'!I14+'مواد انشائيه3'!C14+'مواد انشائيه3'!E14+'مواد انشائيه3'!G14+'مواد انشائيه4'!C14+'مواد انشائيه4'!E14+'مواد انشائيه4'!G14</f>
        <v>3923029</v>
      </c>
      <c r="I14" s="390" t="s">
        <v>23</v>
      </c>
      <c r="J14" s="382"/>
      <c r="K14" s="382"/>
    </row>
    <row r="15" spans="1:11" s="167" customFormat="1" ht="15" customHeight="1">
      <c r="A15" s="378" t="s">
        <v>6</v>
      </c>
      <c r="B15" s="379">
        <v>0</v>
      </c>
      <c r="C15" s="379">
        <v>0</v>
      </c>
      <c r="D15" s="334">
        <v>0</v>
      </c>
      <c r="E15" s="334">
        <v>0</v>
      </c>
      <c r="F15" s="379">
        <v>4193</v>
      </c>
      <c r="G15" s="383">
        <f>F15*31</f>
        <v>129983</v>
      </c>
      <c r="H15" s="339">
        <f>'مواد انشائيه1'!C15+'مواد انشائيه1'!E15+'مواد انشائيه1'!G15+'مواد انشائيه2'!C15+'مواد انشائيه2'!E15+'مواد انشائيه2'!G15+'مواد انشائيه2'!I15+'مواد انشائيه3'!C15+'مواد انشائيه3'!E15+'مواد انشائيه3'!G15+'مواد انشائيه4'!C15+'مواد انشائيه4'!E15+'مواد انشائيه4'!G15</f>
        <v>5146681</v>
      </c>
      <c r="I15" s="380" t="s">
        <v>380</v>
      </c>
      <c r="J15" s="382"/>
      <c r="K15" s="382"/>
    </row>
    <row r="16" spans="1:11" s="167" customFormat="1" ht="15" customHeight="1">
      <c r="A16" s="388" t="s">
        <v>11</v>
      </c>
      <c r="B16" s="389">
        <v>0</v>
      </c>
      <c r="C16" s="389">
        <v>0</v>
      </c>
      <c r="D16" s="366">
        <v>0</v>
      </c>
      <c r="E16" s="366">
        <v>0</v>
      </c>
      <c r="F16" s="389">
        <v>0</v>
      </c>
      <c r="G16" s="389">
        <v>0</v>
      </c>
      <c r="H16" s="366">
        <f>'مواد انشائيه1'!C16+'مواد انشائيه1'!E16+'مواد انشائيه1'!G16+'مواد انشائيه2'!C16+'مواد انشائيه2'!E16+'مواد انشائيه2'!G16+'مواد انشائيه2'!I16+'مواد انشائيه3'!C16+'مواد انشائيه3'!E16+'مواد انشائيه3'!G16+'مواد انشائيه4'!C16+'مواد انشائيه4'!E16+'مواد انشائيه4'!G16</f>
        <v>3228101</v>
      </c>
      <c r="I16" s="390" t="s">
        <v>21</v>
      </c>
      <c r="J16" s="382"/>
      <c r="K16" s="382"/>
    </row>
    <row r="17" spans="1:11" s="167" customFormat="1" ht="15" customHeight="1">
      <c r="A17" s="378" t="s">
        <v>2</v>
      </c>
      <c r="B17" s="379">
        <v>2249</v>
      </c>
      <c r="C17" s="379">
        <f>B17*12</f>
        <v>26988</v>
      </c>
      <c r="D17" s="334">
        <v>0</v>
      </c>
      <c r="E17" s="334">
        <v>0</v>
      </c>
      <c r="F17" s="379">
        <v>502</v>
      </c>
      <c r="G17" s="383">
        <f>F17*30</f>
        <v>15060</v>
      </c>
      <c r="H17" s="339">
        <f>'مواد انشائيه1'!C17+'مواد انشائيه1'!E17+'مواد انشائيه1'!G17+'مواد انشائيه2'!C17+'مواد انشائيه2'!E17+'مواد انشائيه2'!G17+'مواد انشائيه2'!I17+'مواد انشائيه3'!C17+'مواد انشائيه3'!E17+'مواد انشائيه3'!G17+'مواد انشائيه4'!C17+'مواد انشائيه4'!E17+'مواد انشائيه4'!G17</f>
        <v>767158</v>
      </c>
      <c r="I17" s="380" t="s">
        <v>14</v>
      </c>
      <c r="J17" s="382"/>
      <c r="K17" s="382"/>
    </row>
    <row r="18" spans="1:11" s="167" customFormat="1" ht="15" customHeight="1">
      <c r="A18" s="388" t="s">
        <v>7</v>
      </c>
      <c r="B18" s="389">
        <v>0</v>
      </c>
      <c r="C18" s="782">
        <v>0</v>
      </c>
      <c r="D18" s="366">
        <v>0</v>
      </c>
      <c r="E18" s="366">
        <v>0</v>
      </c>
      <c r="F18" s="389">
        <v>0</v>
      </c>
      <c r="G18" s="391">
        <v>0</v>
      </c>
      <c r="H18" s="366">
        <f>'مواد انشائيه1'!C18+'مواد انشائيه1'!E18+'مواد انشائيه1'!G18+'مواد انشائيه2'!C18+'مواد انشائيه2'!E18+'مواد انشائيه2'!G18+'مواد انشائيه2'!I18+'مواد انشائيه3'!C18+'مواد انشائيه3'!E18+'مواد انشائيه3'!G18+'مواد انشائيه4'!C18+'مواد انشائيه4'!E18+'مواد انشائيه4'!G18</f>
        <v>8755603</v>
      </c>
      <c r="I18" s="390" t="s">
        <v>17</v>
      </c>
      <c r="J18" s="382"/>
      <c r="K18" s="382"/>
    </row>
    <row r="19" spans="1:11" s="167" customFormat="1" ht="15" customHeight="1">
      <c r="A19" s="378" t="s">
        <v>8</v>
      </c>
      <c r="B19" s="379">
        <v>0</v>
      </c>
      <c r="C19" s="379">
        <v>0</v>
      </c>
      <c r="D19" s="334">
        <v>0</v>
      </c>
      <c r="E19" s="334">
        <v>0</v>
      </c>
      <c r="F19" s="379">
        <v>0</v>
      </c>
      <c r="G19" s="383">
        <v>0</v>
      </c>
      <c r="H19" s="339">
        <f>'مواد انشائيه1'!C19+'مواد انشائيه1'!E19+'مواد انشائيه1'!G19+'مواد انشائيه2'!C19+'مواد انشائيه2'!E19+'مواد انشائيه2'!G19+'مواد انشائيه2'!I19+'مواد انشائيه3'!C19+'مواد انشائيه3'!E19+'مواد انشائيه3'!G19+'مواد انشائيه4'!C19+'مواد انشائيه4'!E19+'مواد انشائيه4'!G19</f>
        <v>3446322</v>
      </c>
      <c r="I19" s="380" t="s">
        <v>18</v>
      </c>
      <c r="J19" s="382"/>
      <c r="K19" s="382"/>
    </row>
    <row r="20" spans="1:11" s="167" customFormat="1" ht="15" customHeight="1">
      <c r="A20" s="388" t="s">
        <v>9</v>
      </c>
      <c r="B20" s="389">
        <v>0</v>
      </c>
      <c r="C20" s="389">
        <v>0</v>
      </c>
      <c r="D20" s="366">
        <v>0</v>
      </c>
      <c r="E20" s="366">
        <v>0</v>
      </c>
      <c r="F20" s="389">
        <v>0</v>
      </c>
      <c r="G20" s="391">
        <v>0</v>
      </c>
      <c r="H20" s="366">
        <f>'مواد انشائيه1'!C20+'مواد انشائيه1'!E20+'مواد انشائيه1'!G20+'مواد انشائيه2'!C20+'مواد انشائيه2'!E20+'مواد انشائيه2'!G20+'مواد انشائيه2'!I20+'مواد انشائيه3'!C20+'مواد انشائيه3'!E20+'مواد انشائيه3'!G20+'مواد انشائيه4'!C20+'مواد انشائيه4'!E20+'مواد انشائيه4'!G20</f>
        <v>1738152</v>
      </c>
      <c r="I20" s="390" t="s">
        <v>19</v>
      </c>
      <c r="J20" s="382"/>
      <c r="K20" s="382"/>
    </row>
    <row r="21" spans="1:11" s="167" customFormat="1" ht="15" customHeight="1">
      <c r="A21" s="378" t="s">
        <v>10</v>
      </c>
      <c r="B21" s="379">
        <v>0</v>
      </c>
      <c r="C21" s="379">
        <v>0</v>
      </c>
      <c r="D21" s="334">
        <v>0</v>
      </c>
      <c r="E21" s="334">
        <v>0</v>
      </c>
      <c r="F21" s="379">
        <v>0</v>
      </c>
      <c r="G21" s="379">
        <v>0</v>
      </c>
      <c r="H21" s="339">
        <f>'مواد انشائيه1'!C21+'مواد انشائيه1'!E21+'مواد انشائيه1'!G21+'مواد انشائيه2'!C21+'مواد انشائيه2'!E21+'مواد انشائيه2'!G21+'مواد انشائيه2'!I21+'مواد انشائيه3'!C21+'مواد انشائيه3'!E21+'مواد انشائيه3'!G21+'مواد انشائيه4'!C21+'مواد انشائيه4'!E21+'مواد انشائيه4'!G21</f>
        <v>4685115</v>
      </c>
      <c r="I21" s="380" t="s">
        <v>20</v>
      </c>
      <c r="J21" s="382"/>
      <c r="K21" s="382"/>
    </row>
    <row r="22" spans="1:11" s="167" customFormat="1" ht="15" customHeight="1">
      <c r="A22" s="388" t="s">
        <v>12</v>
      </c>
      <c r="B22" s="389">
        <v>0</v>
      </c>
      <c r="C22" s="389">
        <v>0</v>
      </c>
      <c r="D22" s="366">
        <v>0</v>
      </c>
      <c r="E22" s="366">
        <v>0</v>
      </c>
      <c r="F22" s="389">
        <v>0</v>
      </c>
      <c r="G22" s="389">
        <v>0</v>
      </c>
      <c r="H22" s="366">
        <f>'مواد انشائيه1'!C22+'مواد انشائيه1'!E22+'مواد انشائيه1'!G22+'مواد انشائيه2'!C22+'مواد انشائيه2'!E22+'مواد انشائيه2'!G22+'مواد انشائيه2'!I22+'مواد انشائيه3'!C22+'مواد انشائيه3'!E22+'مواد انشائيه3'!G22+'مواد انشائيه4'!C22+'مواد انشائيه4'!E22+'مواد انشائيه4'!G22</f>
        <v>3333095</v>
      </c>
      <c r="I22" s="390" t="s">
        <v>24</v>
      </c>
      <c r="J22" s="382"/>
      <c r="K22" s="382"/>
    </row>
    <row r="23" spans="1:11" s="167" customFormat="1" ht="15" customHeight="1" thickBot="1">
      <c r="A23" s="493" t="s">
        <v>13</v>
      </c>
      <c r="B23" s="494">
        <v>0</v>
      </c>
      <c r="C23" s="494">
        <v>0</v>
      </c>
      <c r="D23" s="334">
        <v>0</v>
      </c>
      <c r="E23" s="334">
        <v>0</v>
      </c>
      <c r="F23" s="494">
        <v>0</v>
      </c>
      <c r="G23" s="495">
        <v>0</v>
      </c>
      <c r="H23" s="339">
        <f>'مواد انشائيه1'!C23+'مواد انشائيه1'!E23+'مواد انشائيه1'!G23+'مواد انشائيه2'!C23+'مواد انشائيه2'!E23+'مواد انشائيه2'!G23+'مواد انشائيه2'!I23+'مواد انشائيه3'!C23+'مواد انشائيه3'!E23+'مواد انشائيه3'!G23+'مواد انشائيه4'!C23+'مواد انشائيه4'!E23+'مواد انشائيه4'!G23</f>
        <v>5433097</v>
      </c>
      <c r="I23" s="496" t="s">
        <v>22</v>
      </c>
      <c r="J23" s="382"/>
      <c r="K23" s="382"/>
    </row>
    <row r="24" spans="1:11" s="240" customFormat="1" ht="20.25" customHeight="1" thickBot="1">
      <c r="A24" s="384" t="s">
        <v>0</v>
      </c>
      <c r="B24" s="385">
        <f>SUM(B9:B23)</f>
        <v>64507</v>
      </c>
      <c r="C24" s="385">
        <f t="shared" ref="C24:H24" si="0">SUM(C9:C23)</f>
        <v>898540</v>
      </c>
      <c r="D24" s="385">
        <f t="shared" si="0"/>
        <v>63946</v>
      </c>
      <c r="E24" s="385">
        <f t="shared" si="0"/>
        <v>1592300</v>
      </c>
      <c r="F24" s="385">
        <f t="shared" si="0"/>
        <v>59977</v>
      </c>
      <c r="G24" s="385">
        <f t="shared" si="0"/>
        <v>2582140</v>
      </c>
      <c r="H24" s="385">
        <f t="shared" si="0"/>
        <v>164229012</v>
      </c>
      <c r="I24" s="386" t="s">
        <v>1</v>
      </c>
      <c r="J24" s="381"/>
      <c r="K24" s="381"/>
    </row>
    <row r="25" spans="1:11" s="4" customFormat="1" ht="20.25" customHeight="1">
      <c r="A25" s="891"/>
      <c r="B25" s="891"/>
      <c r="C25" s="891"/>
      <c r="D25" s="891"/>
      <c r="E25" s="891"/>
      <c r="F25" s="891"/>
      <c r="G25" s="891"/>
      <c r="H25" s="594"/>
      <c r="I25" s="595"/>
      <c r="J25" s="593"/>
    </row>
    <row r="26" spans="1:11" ht="14.25">
      <c r="A26" s="593"/>
      <c r="B26" s="593"/>
      <c r="C26" s="593"/>
      <c r="D26" s="593"/>
      <c r="E26" s="593"/>
      <c r="F26" s="593"/>
      <c r="G26" s="593"/>
      <c r="H26" s="593"/>
      <c r="I26" s="596"/>
      <c r="J26" s="593"/>
    </row>
    <row r="27" spans="1:11" ht="15">
      <c r="A27" s="912"/>
      <c r="B27" s="912"/>
      <c r="C27" s="593"/>
      <c r="D27" s="593"/>
      <c r="E27" s="593"/>
      <c r="F27" s="593"/>
      <c r="G27" s="593"/>
      <c r="H27" s="593"/>
      <c r="I27" s="597"/>
      <c r="J27" s="593"/>
    </row>
    <row r="28" spans="1:11">
      <c r="I28" s="4"/>
      <c r="J28" s="4"/>
    </row>
    <row r="29" spans="1:11">
      <c r="I29" s="4"/>
      <c r="J29" s="4"/>
    </row>
    <row r="30" spans="1:11" ht="13.5" customHeight="1"/>
  </sheetData>
  <mergeCells count="13">
    <mergeCell ref="A1:I1"/>
    <mergeCell ref="A3:I3"/>
    <mergeCell ref="A4:B4"/>
    <mergeCell ref="C4:E4"/>
    <mergeCell ref="F4:H4"/>
    <mergeCell ref="A27:B27"/>
    <mergeCell ref="B5:C5"/>
    <mergeCell ref="D5:E5"/>
    <mergeCell ref="F5:G5"/>
    <mergeCell ref="F6:G6"/>
    <mergeCell ref="A25:G25"/>
    <mergeCell ref="D6:E6"/>
    <mergeCell ref="B6:C6"/>
  </mergeCells>
  <phoneticPr fontId="3" type="noConversion"/>
  <printOptions horizontalCentered="1" verticalCentered="1"/>
  <pageMargins left="0.79" right="0.56999999999999995" top="0.91" bottom="0.81" header="0.19685039370078741" footer="0.78740157480314965"/>
  <pageSetup paperSize="9"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92D050"/>
  </sheetPr>
  <dimension ref="A1:AD27"/>
  <sheetViews>
    <sheetView rightToLeft="1" zoomScale="80" zoomScaleNormal="80" zoomScaleSheetLayoutView="100" workbookViewId="0">
      <selection activeCell="C10" sqref="C10"/>
    </sheetView>
  </sheetViews>
  <sheetFormatPr defaultRowHeight="12.75"/>
  <cols>
    <col min="1" max="1" width="16.5703125" customWidth="1"/>
    <col min="2" max="2" width="27.7109375" customWidth="1"/>
    <col min="3" max="3" width="27.28515625" customWidth="1"/>
    <col min="4" max="4" width="23.7109375" customWidth="1"/>
    <col min="5" max="5" width="16.85546875" customWidth="1"/>
    <col min="6" max="6" width="7.85546875" customWidth="1"/>
    <col min="7" max="7" width="2.7109375" customWidth="1"/>
    <col min="8" max="8" width="7.7109375" customWidth="1"/>
    <col min="9" max="15" width="10.7109375" customWidth="1"/>
  </cols>
  <sheetData>
    <row r="1" spans="1:30" ht="15">
      <c r="A1" s="855" t="s">
        <v>474</v>
      </c>
      <c r="B1" s="855"/>
      <c r="C1" s="855"/>
      <c r="D1" s="855"/>
      <c r="E1" s="855"/>
    </row>
    <row r="2" spans="1:30" ht="12.75" customHeight="1">
      <c r="A2" s="959" t="s">
        <v>382</v>
      </c>
      <c r="B2" s="959"/>
      <c r="C2" s="959"/>
      <c r="D2" s="959"/>
      <c r="E2" s="959"/>
    </row>
    <row r="3" spans="1:30" s="4" customFormat="1" ht="14.25" customHeight="1">
      <c r="A3" s="136"/>
      <c r="B3" s="136"/>
      <c r="C3" s="136"/>
      <c r="D3" s="899" t="s">
        <v>362</v>
      </c>
      <c r="E3" s="899"/>
    </row>
    <row r="4" spans="1:30" ht="19.5" customHeight="1" thickBot="1">
      <c r="A4" s="866" t="s">
        <v>473</v>
      </c>
      <c r="B4" s="866"/>
      <c r="C4" s="43"/>
      <c r="D4" s="10"/>
      <c r="E4" s="44" t="s">
        <v>50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0" s="279" customFormat="1" ht="15" customHeight="1">
      <c r="A5" s="314"/>
      <c r="B5" s="315" t="s">
        <v>92</v>
      </c>
      <c r="C5" s="315" t="s">
        <v>93</v>
      </c>
      <c r="D5" s="315" t="s">
        <v>94</v>
      </c>
      <c r="E5" s="316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</row>
    <row r="6" spans="1:30" s="2" customFormat="1" ht="45.75" customHeight="1" thickBot="1">
      <c r="A6" s="422" t="s">
        <v>47</v>
      </c>
      <c r="B6" s="497" t="s">
        <v>310</v>
      </c>
      <c r="C6" s="419" t="s">
        <v>95</v>
      </c>
      <c r="D6" s="419" t="s">
        <v>309</v>
      </c>
      <c r="E6" s="445" t="s">
        <v>25</v>
      </c>
    </row>
    <row r="7" spans="1:30" s="240" customFormat="1" ht="15" customHeight="1" thickTop="1">
      <c r="A7" s="405" t="s">
        <v>329</v>
      </c>
      <c r="B7" s="317">
        <f>طابوق!I9+بلوك!I9+حجر!G9+حصى!G9+رمل!G9+سمنت!I9+جص!G9+كاشي2!I9+حديد!F9+ابواب!K9+شبابيك!G9+ت.كهربائيه2!F9+ت.صحيه3!H9+'الكلفه الكليه'!H9</f>
        <v>14595003</v>
      </c>
      <c r="C7" s="317">
        <v>10027024</v>
      </c>
      <c r="D7" s="317">
        <f>B7+C7</f>
        <v>24622027</v>
      </c>
      <c r="E7" s="406" t="s">
        <v>379</v>
      </c>
      <c r="F7" s="533"/>
    </row>
    <row r="8" spans="1:30" s="167" customFormat="1" ht="15" customHeight="1">
      <c r="A8" s="375" t="s">
        <v>29</v>
      </c>
      <c r="B8" s="49">
        <f>طابوق!I10+بلوك!I10+حجر!G10+حصى!G10+رمل!G10+سمنت!I10+جص!G10+كاشي2!I10+حديد!F10+ابواب!K10+شبابيك!G10+ت.كهربائيه2!F10+ت.صحيه3!H10+'الكلفه الكليه'!H10</f>
        <v>19740690</v>
      </c>
      <c r="C8" s="49">
        <v>23046518</v>
      </c>
      <c r="D8" s="49">
        <f t="shared" ref="D8:D21" si="0">B8+C8</f>
        <v>42787208</v>
      </c>
      <c r="E8" s="7" t="s">
        <v>30</v>
      </c>
      <c r="F8" s="533"/>
    </row>
    <row r="9" spans="1:30" s="167" customFormat="1" ht="15" customHeight="1">
      <c r="A9" s="241" t="s">
        <v>3</v>
      </c>
      <c r="B9" s="317">
        <f>طابوق!I11+بلوك!I11+حجر!G11+حصى!G11+رمل!G11+سمنت!I11+جص!G11+كاشي2!I11+حديد!F11+ابواب!K11+شبابيك!G11+ت.كهربائيه2!F11+ت.صحيه3!H11+'الكلفه الكليه'!H11</f>
        <v>39149953.5</v>
      </c>
      <c r="C9" s="234">
        <v>116634256</v>
      </c>
      <c r="D9" s="317">
        <f t="shared" si="0"/>
        <v>155784209.5</v>
      </c>
      <c r="E9" s="242" t="s">
        <v>15</v>
      </c>
      <c r="F9" s="533"/>
    </row>
    <row r="10" spans="1:30" s="167" customFormat="1" ht="15" customHeight="1">
      <c r="A10" s="375" t="s">
        <v>320</v>
      </c>
      <c r="B10" s="49">
        <f>طابوق!I12+بلوك!I12+حجر!G12+حصى!G12+رمل!G12+سمنت!I12+جص!G12+كاشي2!I12+حديد!F12+ابواب!K12+شبابيك!G12+ت.كهربائيه2!F12+ت.صحيه3!H12+'الكلفه الكليه'!H12</f>
        <v>24524824</v>
      </c>
      <c r="C10" s="49">
        <v>14015897</v>
      </c>
      <c r="D10" s="49">
        <f t="shared" si="0"/>
        <v>38540721</v>
      </c>
      <c r="E10" s="7" t="s">
        <v>316</v>
      </c>
      <c r="F10" s="533"/>
    </row>
    <row r="11" spans="1:30" s="167" customFormat="1" ht="15" customHeight="1">
      <c r="A11" s="233" t="s">
        <v>4</v>
      </c>
      <c r="B11" s="317">
        <f>طابوق!I13+بلوك!I13+حجر!G13+حصى!G13+رمل!G13+سمنت!I13+جص!G13+كاشي2!I13+حديد!F13+ابواب!K13+شبابيك!G13+ت.كهربائيه2!F13+ت.صحيه3!H13+'الكلفه الكليه'!H13</f>
        <v>188715084</v>
      </c>
      <c r="C11" s="234">
        <v>437277784</v>
      </c>
      <c r="D11" s="234">
        <f t="shared" si="0"/>
        <v>625992868</v>
      </c>
      <c r="E11" s="238" t="s">
        <v>16</v>
      </c>
      <c r="F11" s="533"/>
    </row>
    <row r="12" spans="1:30" s="167" customFormat="1" ht="15" customHeight="1">
      <c r="A12" s="324" t="s">
        <v>5</v>
      </c>
      <c r="B12" s="49">
        <f>طابوق!I14+بلوك!I14+حجر!G14+حصى!G14+رمل!G14+سمنت!I14+جص!G14+كاشي2!I14+حديد!F14+ابواب!K14+شبابيك!G14+ت.كهربائيه2!F14+ت.صحيه3!H14+'الكلفه الكليه'!H14</f>
        <v>33292254</v>
      </c>
      <c r="C12" s="49">
        <v>15460282.5</v>
      </c>
      <c r="D12" s="49">
        <f t="shared" si="0"/>
        <v>48752536.5</v>
      </c>
      <c r="E12" s="318" t="s">
        <v>23</v>
      </c>
      <c r="F12" s="533"/>
    </row>
    <row r="13" spans="1:30" s="167" customFormat="1" ht="15" customHeight="1">
      <c r="A13" s="233" t="s">
        <v>6</v>
      </c>
      <c r="B13" s="317">
        <f>طابوق!I15+بلوك!I15+حجر!G15+حصى!G15+رمل!G15+سمنت!I15+جص!G15+كاشي2!I15+حديد!F15+ابواب!K15+شبابيك!G15+ت.كهربائيه2!F15+ت.صحيه3!H15+'الكلفه الكليه'!H15</f>
        <v>40211210</v>
      </c>
      <c r="C13" s="234">
        <v>42101148</v>
      </c>
      <c r="D13" s="317">
        <f t="shared" si="0"/>
        <v>82312358</v>
      </c>
      <c r="E13" s="238" t="s">
        <v>380</v>
      </c>
      <c r="F13" s="533"/>
    </row>
    <row r="14" spans="1:30" s="167" customFormat="1" ht="12.75" customHeight="1">
      <c r="A14" s="324" t="s">
        <v>11</v>
      </c>
      <c r="B14" s="49">
        <f>طابوق!I16+بلوك!I16+حجر!G16+حصى!G16+رمل!G16+سمنت!I16+جص!G16+كاشي2!I16+حديد!F16+ابواب!K16+شبابيك!G16+ت.كهربائيه2!F16+ت.صحيه3!H16+'الكلفه الكليه'!H16</f>
        <v>22253002.5</v>
      </c>
      <c r="C14" s="49">
        <v>17616010</v>
      </c>
      <c r="D14" s="49">
        <f t="shared" si="0"/>
        <v>39869012.5</v>
      </c>
      <c r="E14" s="318" t="s">
        <v>21</v>
      </c>
      <c r="F14" s="533"/>
    </row>
    <row r="15" spans="1:30" s="167" customFormat="1" ht="21.75" customHeight="1">
      <c r="A15" s="233" t="s">
        <v>2</v>
      </c>
      <c r="B15" s="317">
        <f>طابوق!I17+بلوك!I17+حجر!G17+حصى!G17+رمل!G17+سمنت!I17+جص!G17+كاشي2!I17+حديد!F17+ابواب!K17+شبابيك!G17+ت.كهربائيه2!F17+ت.صحيه3!H17+'الكلفه الكليه'!H17</f>
        <v>13422943</v>
      </c>
      <c r="C15" s="234">
        <v>4396164</v>
      </c>
      <c r="D15" s="317">
        <f t="shared" si="0"/>
        <v>17819107</v>
      </c>
      <c r="E15" s="238" t="s">
        <v>14</v>
      </c>
      <c r="F15" s="533"/>
    </row>
    <row r="16" spans="1:30" s="167" customFormat="1" ht="15" customHeight="1">
      <c r="A16" s="324" t="s">
        <v>7</v>
      </c>
      <c r="B16" s="49">
        <f>طابوق!I18+بلوك!I18+حجر!G18+حصى!G18+رمل!G18+سمنت!I18+جص!G18+كاشي2!I18+حديد!F18+ابواب!K18+شبابيك!G18+ت.كهربائيه2!F18+ت.صحيه3!H18+'الكلفه الكليه'!H18</f>
        <v>52745470</v>
      </c>
      <c r="C16" s="49">
        <v>53687878</v>
      </c>
      <c r="D16" s="49">
        <f t="shared" si="0"/>
        <v>106433348</v>
      </c>
      <c r="E16" s="318" t="s">
        <v>17</v>
      </c>
      <c r="F16" s="533"/>
    </row>
    <row r="17" spans="1:10" s="167" customFormat="1" ht="14.25" customHeight="1">
      <c r="A17" s="376" t="s">
        <v>8</v>
      </c>
      <c r="B17" s="317">
        <f>طابوق!I19+بلوك!I19+حجر!G19+حصى!G19+رمل!G19+سمنت!I19+جص!G19+كاشي2!I19+حديد!F19+ابواب!K19+شبابيك!G19+ت.كهربائيه2!F19+ت.صحيه3!H19+'الكلفه الكليه'!H19</f>
        <v>33554544.5</v>
      </c>
      <c r="C17" s="317">
        <v>8440794</v>
      </c>
      <c r="D17" s="317">
        <f t="shared" si="0"/>
        <v>41995338.5</v>
      </c>
      <c r="E17" s="377" t="s">
        <v>18</v>
      </c>
      <c r="F17" s="533"/>
    </row>
    <row r="18" spans="1:10" s="167" customFormat="1" ht="16.5" customHeight="1">
      <c r="A18" s="324" t="s">
        <v>9</v>
      </c>
      <c r="B18" s="49">
        <f>طابوق!I20+بلوك!I20+حجر!G20+حصى!G20+رمل!G20+سمنت!I20+جص!G20+كاشي2!I20+حديد!F20+ابواب!K20+شبابيك!G20+ت.كهربائيه2!F20+ت.صحيه3!H20+'الكلفه الكليه'!H20</f>
        <v>16836067</v>
      </c>
      <c r="C18" s="584">
        <v>14719841</v>
      </c>
      <c r="D18" s="49">
        <f t="shared" si="0"/>
        <v>31555908</v>
      </c>
      <c r="E18" s="318" t="s">
        <v>19</v>
      </c>
      <c r="F18" s="533"/>
    </row>
    <row r="19" spans="1:10" s="167" customFormat="1" ht="16.5" customHeight="1">
      <c r="A19" s="233" t="s">
        <v>10</v>
      </c>
      <c r="B19" s="317">
        <f>طابوق!I21+بلوك!I21+حجر!G21+حصى!G21+رمل!G21+سمنت!I21+جص!G21+كاشي2!I21+حديد!F21+ابواب!K21+شبابيك!G21+ت.كهربائيه2!F21+ت.صحيه3!H21+'الكلفه الكليه'!H21</f>
        <v>49645258</v>
      </c>
      <c r="C19" s="234">
        <v>27550021</v>
      </c>
      <c r="D19" s="317">
        <f t="shared" si="0"/>
        <v>77195279</v>
      </c>
      <c r="E19" s="238" t="s">
        <v>20</v>
      </c>
      <c r="F19" s="533"/>
    </row>
    <row r="20" spans="1:10" s="167" customFormat="1" ht="15">
      <c r="A20" s="324" t="s">
        <v>12</v>
      </c>
      <c r="B20" s="49">
        <f>طابوق!I22+بلوك!I22+حجر!G22+حصى!G22+رمل!G22+سمنت!I22+جص!G22+كاشي2!I22+حديد!F22+ابواب!K22+شبابيك!G22+ت.كهربائيه2!F22+ت.صحيه3!H22+'الكلفه الكليه'!H22</f>
        <v>17579591</v>
      </c>
      <c r="C20" s="49">
        <v>3473427</v>
      </c>
      <c r="D20" s="49">
        <f t="shared" si="0"/>
        <v>21053018</v>
      </c>
      <c r="E20" s="318" t="s">
        <v>24</v>
      </c>
      <c r="F20" s="533"/>
    </row>
    <row r="21" spans="1:10" s="167" customFormat="1" ht="15.75" thickBot="1">
      <c r="A21" s="413" t="s">
        <v>13</v>
      </c>
      <c r="B21" s="317">
        <f>طابوق!I23+بلوك!I23+حجر!G23+حصى!G23+رمل!G23+سمنت!I23+جص!G23+كاشي2!I23+حديد!F23+ابواب!K23+شبابيك!G23+ت.كهربائيه2!F23+ت.صحيه3!H23+'الكلفه الكليه'!H23</f>
        <v>47454814.5</v>
      </c>
      <c r="C21" s="423">
        <v>61192990</v>
      </c>
      <c r="D21" s="317">
        <f t="shared" si="0"/>
        <v>108647804.5</v>
      </c>
      <c r="E21" s="414" t="s">
        <v>22</v>
      </c>
      <c r="F21" s="533"/>
    </row>
    <row r="22" spans="1:10" s="240" customFormat="1" ht="19.5" customHeight="1" thickBot="1">
      <c r="A22" s="395" t="s">
        <v>0</v>
      </c>
      <c r="B22" s="253">
        <f>SUM(B7:B21)</f>
        <v>613720709</v>
      </c>
      <c r="C22" s="253">
        <f t="shared" ref="C22:D22" si="1">SUM(C7:C21)</f>
        <v>849640034.5</v>
      </c>
      <c r="D22" s="253">
        <f t="shared" si="1"/>
        <v>1463360743.5</v>
      </c>
      <c r="E22" s="396" t="s">
        <v>1</v>
      </c>
    </row>
    <row r="23" spans="1:10" ht="14.25">
      <c r="C23" s="4"/>
      <c r="D23" s="4"/>
      <c r="E23" s="128"/>
    </row>
    <row r="25" spans="1:10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mergeCells count="4">
    <mergeCell ref="A1:E1"/>
    <mergeCell ref="A4:B4"/>
    <mergeCell ref="D3:E3"/>
    <mergeCell ref="A2:E2"/>
  </mergeCells>
  <phoneticPr fontId="3" type="noConversion"/>
  <printOptions horizontalCentered="1" verticalCentered="1"/>
  <pageMargins left="0.36" right="1.02" top="1" bottom="0.82" header="0.19685039370078741" footer="0.78740157480314965"/>
  <pageSetup paperSize="9" orientation="landscape" r:id="rId1"/>
  <headerFooter alignWithMargins="0"/>
  <ignoredErrors>
    <ignoredError sqref="B22" evalError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J27"/>
  <sheetViews>
    <sheetView topLeftCell="AE1" workbookViewId="0">
      <selection activeCell="C18" sqref="C18"/>
    </sheetView>
  </sheetViews>
  <sheetFormatPr defaultRowHeight="12.75"/>
  <sheetData>
    <row r="18" spans="1:10">
      <c r="C18" s="593"/>
    </row>
    <row r="25" spans="1:10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J27"/>
  <sheetViews>
    <sheetView workbookViewId="0">
      <selection activeCell="C18" sqref="C18"/>
    </sheetView>
  </sheetViews>
  <sheetFormatPr defaultRowHeight="12.75"/>
  <sheetData>
    <row r="18" spans="1:10">
      <c r="C18" s="593"/>
    </row>
    <row r="25" spans="1:10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0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printOptions horizontalCentered="1" verticalCentered="1"/>
  <pageMargins left="0.23622047244094491" right="1.0629921259842521" top="1.3779527559055118" bottom="1.8110236220472442" header="0.19685039370078741" footer="0.78740157480314965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</sheetPr>
  <dimension ref="A1:J27"/>
  <sheetViews>
    <sheetView rightToLeft="1" zoomScale="80" zoomScaleNormal="80" zoomScaleSheetLayoutView="100" workbookViewId="0">
      <selection activeCell="C18" sqref="C18"/>
    </sheetView>
  </sheetViews>
  <sheetFormatPr defaultRowHeight="12.75"/>
  <cols>
    <col min="1" max="1" width="15.28515625" customWidth="1"/>
    <col min="2" max="2" width="14.85546875" customWidth="1"/>
    <col min="3" max="3" width="13.5703125" customWidth="1"/>
    <col min="4" max="4" width="15.140625" style="4" customWidth="1"/>
    <col min="5" max="5" width="18" style="4" customWidth="1"/>
    <col min="6" max="6" width="18" customWidth="1"/>
    <col min="7" max="7" width="16.28515625" customWidth="1"/>
    <col min="9" max="9" width="13.28515625" bestFit="1" customWidth="1"/>
    <col min="10" max="10" width="16.5703125" bestFit="1" customWidth="1"/>
  </cols>
  <sheetData>
    <row r="1" spans="1:10" ht="15">
      <c r="A1" s="861" t="s">
        <v>418</v>
      </c>
      <c r="B1" s="861"/>
      <c r="C1" s="861"/>
      <c r="D1" s="861"/>
      <c r="E1" s="861"/>
      <c r="F1" s="861"/>
      <c r="G1" s="861"/>
    </row>
    <row r="2" spans="1:10" ht="18" customHeight="1">
      <c r="A2" s="862" t="s">
        <v>404</v>
      </c>
      <c r="B2" s="862"/>
      <c r="C2" s="862"/>
      <c r="D2" s="862"/>
      <c r="E2" s="862"/>
      <c r="F2" s="862"/>
      <c r="G2" s="862"/>
    </row>
    <row r="3" spans="1:10" ht="12" customHeight="1">
      <c r="A3" s="862"/>
      <c r="B3" s="862"/>
      <c r="C3" s="862"/>
      <c r="D3" s="862"/>
      <c r="E3" s="862"/>
      <c r="F3" s="862"/>
      <c r="G3" s="862"/>
    </row>
    <row r="4" spans="1:10" s="4" customFormat="1" ht="12" customHeight="1">
      <c r="B4" s="137"/>
      <c r="C4" s="137"/>
      <c r="D4" s="154"/>
      <c r="E4" s="154"/>
      <c r="F4" s="137"/>
      <c r="G4" s="145" t="s">
        <v>194</v>
      </c>
    </row>
    <row r="5" spans="1:10" ht="18.75" customHeight="1" thickBot="1">
      <c r="A5" s="673" t="s">
        <v>416</v>
      </c>
      <c r="B5" s="864" t="s">
        <v>417</v>
      </c>
      <c r="C5" s="864"/>
      <c r="D5" s="155"/>
      <c r="E5" s="155"/>
      <c r="F5" s="860" t="s">
        <v>297</v>
      </c>
      <c r="G5" s="860"/>
    </row>
    <row r="6" spans="1:10" s="111" customFormat="1" ht="15" customHeight="1">
      <c r="A6" s="228"/>
      <c r="B6" s="229" t="s">
        <v>64</v>
      </c>
      <c r="C6" s="230" t="s">
        <v>72</v>
      </c>
      <c r="D6" s="230" t="s">
        <v>73</v>
      </c>
      <c r="E6" s="230" t="s">
        <v>78</v>
      </c>
      <c r="F6" s="230" t="s">
        <v>79</v>
      </c>
      <c r="G6" s="231"/>
    </row>
    <row r="7" spans="1:10" ht="15" customHeight="1">
      <c r="A7" s="12"/>
      <c r="B7" s="159" t="s">
        <v>27</v>
      </c>
      <c r="C7" s="13" t="s">
        <v>147</v>
      </c>
      <c r="D7" s="13" t="s">
        <v>132</v>
      </c>
      <c r="E7" s="13" t="s">
        <v>124</v>
      </c>
      <c r="F7" s="13" t="s">
        <v>126</v>
      </c>
      <c r="G7" s="35"/>
    </row>
    <row r="8" spans="1:10" ht="15" customHeight="1">
      <c r="A8" s="156" t="s">
        <v>77</v>
      </c>
      <c r="B8" s="156" t="s">
        <v>120</v>
      </c>
      <c r="C8" s="156" t="s">
        <v>120</v>
      </c>
      <c r="D8" s="156" t="s">
        <v>120</v>
      </c>
      <c r="E8" s="156" t="s">
        <v>119</v>
      </c>
      <c r="F8" s="157"/>
      <c r="G8" s="158" t="s">
        <v>25</v>
      </c>
    </row>
    <row r="9" spans="1:10" s="167" customFormat="1" ht="15" customHeight="1">
      <c r="A9" s="233" t="s">
        <v>329</v>
      </c>
      <c r="B9" s="248">
        <v>42</v>
      </c>
      <c r="C9" s="234">
        <v>276</v>
      </c>
      <c r="D9" s="234">
        <v>0</v>
      </c>
      <c r="E9" s="234">
        <v>7466</v>
      </c>
      <c r="F9" s="234">
        <v>2512971.6</v>
      </c>
      <c r="G9" s="248" t="s">
        <v>379</v>
      </c>
      <c r="I9" s="245"/>
      <c r="J9" s="245"/>
    </row>
    <row r="10" spans="1:10" s="167" customFormat="1" ht="15" customHeight="1">
      <c r="A10" s="363" t="s">
        <v>29</v>
      </c>
      <c r="B10" s="123">
        <v>183</v>
      </c>
      <c r="C10" s="49">
        <v>1210</v>
      </c>
      <c r="D10" s="49">
        <v>0</v>
      </c>
      <c r="E10" s="49">
        <v>33814</v>
      </c>
      <c r="F10" s="49">
        <v>14642462.640000001</v>
      </c>
      <c r="G10" s="123" t="s">
        <v>30</v>
      </c>
      <c r="I10" s="245"/>
      <c r="J10" s="245"/>
    </row>
    <row r="11" spans="1:10" s="167" customFormat="1" ht="15" customHeight="1">
      <c r="A11" s="233" t="s">
        <v>3</v>
      </c>
      <c r="B11" s="248">
        <v>184</v>
      </c>
      <c r="C11" s="234">
        <v>953</v>
      </c>
      <c r="D11" s="234">
        <v>0</v>
      </c>
      <c r="E11" s="234">
        <v>31024</v>
      </c>
      <c r="F11" s="234">
        <v>9307104</v>
      </c>
      <c r="G11" s="248" t="s">
        <v>15</v>
      </c>
      <c r="I11" s="245"/>
      <c r="J11" s="245"/>
    </row>
    <row r="12" spans="1:10" s="167" customFormat="1" ht="15" customHeight="1">
      <c r="A12" s="363" t="s">
        <v>315</v>
      </c>
      <c r="B12" s="123">
        <v>3</v>
      </c>
      <c r="C12" s="49">
        <v>15</v>
      </c>
      <c r="D12" s="49">
        <v>0</v>
      </c>
      <c r="E12" s="49">
        <v>613</v>
      </c>
      <c r="F12" s="49">
        <v>223231.25</v>
      </c>
      <c r="G12" s="123" t="s">
        <v>316</v>
      </c>
      <c r="I12" s="245"/>
      <c r="J12" s="245"/>
    </row>
    <row r="13" spans="1:10" s="167" customFormat="1" ht="15" customHeight="1">
      <c r="A13" s="233" t="s">
        <v>4</v>
      </c>
      <c r="B13" s="248">
        <v>398</v>
      </c>
      <c r="C13" s="234">
        <v>2380</v>
      </c>
      <c r="D13" s="234">
        <v>0</v>
      </c>
      <c r="E13" s="234">
        <v>82920</v>
      </c>
      <c r="F13" s="234">
        <v>30314337.5</v>
      </c>
      <c r="G13" s="248" t="s">
        <v>16</v>
      </c>
      <c r="I13" s="245"/>
      <c r="J13" s="245"/>
    </row>
    <row r="14" spans="1:10" s="167" customFormat="1" ht="15" customHeight="1">
      <c r="A14" s="363" t="s">
        <v>5</v>
      </c>
      <c r="B14" s="123">
        <v>88</v>
      </c>
      <c r="C14" s="49">
        <v>489</v>
      </c>
      <c r="D14" s="49">
        <v>0</v>
      </c>
      <c r="E14" s="49">
        <v>13989</v>
      </c>
      <c r="F14" s="49">
        <v>5257395</v>
      </c>
      <c r="G14" s="123" t="s">
        <v>23</v>
      </c>
      <c r="I14" s="245"/>
      <c r="J14" s="245"/>
    </row>
    <row r="15" spans="1:10" s="167" customFormat="1" ht="15" customHeight="1">
      <c r="A15" s="233" t="s">
        <v>6</v>
      </c>
      <c r="B15" s="248">
        <v>355</v>
      </c>
      <c r="C15" s="234">
        <v>2162</v>
      </c>
      <c r="D15" s="234">
        <v>0</v>
      </c>
      <c r="E15" s="234">
        <v>58796</v>
      </c>
      <c r="F15" s="234">
        <v>19827590</v>
      </c>
      <c r="G15" s="248" t="s">
        <v>380</v>
      </c>
      <c r="I15" s="245"/>
      <c r="J15" s="245"/>
    </row>
    <row r="16" spans="1:10" s="167" customFormat="1" ht="15" customHeight="1">
      <c r="A16" s="363" t="s">
        <v>11</v>
      </c>
      <c r="B16" s="123">
        <v>246</v>
      </c>
      <c r="C16" s="49">
        <v>1429</v>
      </c>
      <c r="D16" s="49">
        <v>0</v>
      </c>
      <c r="E16" s="49">
        <v>44588</v>
      </c>
      <c r="F16" s="49">
        <v>15605863</v>
      </c>
      <c r="G16" s="123" t="s">
        <v>21</v>
      </c>
      <c r="I16" s="245"/>
      <c r="J16" s="245"/>
    </row>
    <row r="17" spans="1:10" s="167" customFormat="1" ht="15" customHeight="1">
      <c r="A17" s="233" t="s">
        <v>2</v>
      </c>
      <c r="B17" s="248">
        <v>25</v>
      </c>
      <c r="C17" s="234">
        <v>85</v>
      </c>
      <c r="D17" s="234">
        <v>0</v>
      </c>
      <c r="E17" s="234">
        <v>3322</v>
      </c>
      <c r="F17" s="234">
        <v>1013325</v>
      </c>
      <c r="G17" s="248" t="s">
        <v>14</v>
      </c>
      <c r="I17" s="245"/>
      <c r="J17" s="245"/>
    </row>
    <row r="18" spans="1:10" s="167" customFormat="1" ht="15" customHeight="1">
      <c r="A18" s="363" t="s">
        <v>7</v>
      </c>
      <c r="B18" s="123">
        <v>158</v>
      </c>
      <c r="C18" s="584">
        <v>933</v>
      </c>
      <c r="D18" s="49">
        <v>0</v>
      </c>
      <c r="E18" s="49">
        <v>25548</v>
      </c>
      <c r="F18" s="49">
        <v>11595927</v>
      </c>
      <c r="G18" s="123" t="s">
        <v>17</v>
      </c>
      <c r="I18" s="245"/>
      <c r="J18" s="245"/>
    </row>
    <row r="19" spans="1:10" s="167" customFormat="1" ht="15" customHeight="1">
      <c r="A19" s="233" t="s">
        <v>8</v>
      </c>
      <c r="B19" s="248">
        <v>298</v>
      </c>
      <c r="C19" s="234">
        <v>1414</v>
      </c>
      <c r="D19" s="234">
        <v>0</v>
      </c>
      <c r="E19" s="234">
        <v>36069</v>
      </c>
      <c r="F19" s="234">
        <v>11664264</v>
      </c>
      <c r="G19" s="248" t="s">
        <v>18</v>
      </c>
      <c r="I19" s="245"/>
      <c r="J19" s="245"/>
    </row>
    <row r="20" spans="1:10" s="167" customFormat="1" ht="15" customHeight="1">
      <c r="A20" s="363" t="s">
        <v>9</v>
      </c>
      <c r="B20" s="123">
        <v>35</v>
      </c>
      <c r="C20" s="49">
        <v>153</v>
      </c>
      <c r="D20" s="49">
        <v>0</v>
      </c>
      <c r="E20" s="49">
        <v>4620</v>
      </c>
      <c r="F20" s="49">
        <v>1553812</v>
      </c>
      <c r="G20" s="123" t="s">
        <v>19</v>
      </c>
      <c r="I20" s="245"/>
      <c r="J20" s="245"/>
    </row>
    <row r="21" spans="1:10" s="167" customFormat="1" ht="15" customHeight="1">
      <c r="A21" s="233" t="s">
        <v>10</v>
      </c>
      <c r="B21" s="248">
        <v>407</v>
      </c>
      <c r="C21" s="234">
        <v>2037</v>
      </c>
      <c r="D21" s="234">
        <v>0</v>
      </c>
      <c r="E21" s="234">
        <v>56492</v>
      </c>
      <c r="F21" s="234">
        <v>14195300</v>
      </c>
      <c r="G21" s="248" t="s">
        <v>20</v>
      </c>
      <c r="I21" s="245"/>
      <c r="J21" s="245"/>
    </row>
    <row r="22" spans="1:10" s="167" customFormat="1" ht="15" customHeight="1">
      <c r="A22" s="363" t="s">
        <v>12</v>
      </c>
      <c r="B22" s="123">
        <v>250</v>
      </c>
      <c r="C22" s="49">
        <v>882</v>
      </c>
      <c r="D22" s="49">
        <v>0</v>
      </c>
      <c r="E22" s="49">
        <v>29907</v>
      </c>
      <c r="F22" s="49">
        <v>10610740.800000001</v>
      </c>
      <c r="G22" s="123" t="s">
        <v>24</v>
      </c>
      <c r="I22" s="245"/>
      <c r="J22" s="245"/>
    </row>
    <row r="23" spans="1:10" s="167" customFormat="1" ht="15" customHeight="1" thickBot="1">
      <c r="A23" s="233" t="s">
        <v>13</v>
      </c>
      <c r="B23" s="248">
        <v>234</v>
      </c>
      <c r="C23" s="234">
        <v>1093</v>
      </c>
      <c r="D23" s="234">
        <v>0</v>
      </c>
      <c r="E23" s="234">
        <v>44102</v>
      </c>
      <c r="F23" s="234">
        <v>17558875</v>
      </c>
      <c r="G23" s="248" t="s">
        <v>22</v>
      </c>
      <c r="I23" s="245"/>
      <c r="J23" s="245"/>
    </row>
    <row r="24" spans="1:10" s="167" customFormat="1" ht="20.25" customHeight="1" thickTop="1" thickBot="1">
      <c r="A24" s="249" t="s">
        <v>0</v>
      </c>
      <c r="B24" s="250">
        <f>SUM(B9:B23)</f>
        <v>2906</v>
      </c>
      <c r="C24" s="251">
        <f>SUM(C9:C23)</f>
        <v>15511</v>
      </c>
      <c r="D24" s="251">
        <f>SUM(D9:D23)</f>
        <v>0</v>
      </c>
      <c r="E24" s="251">
        <f>SUM(E9:E23)</f>
        <v>473270</v>
      </c>
      <c r="F24" s="252">
        <f>SUM(F9:F23)</f>
        <v>165883198.79000002</v>
      </c>
      <c r="G24" s="250" t="s">
        <v>1</v>
      </c>
    </row>
    <row r="25" spans="1:10" ht="15.75" thickTop="1">
      <c r="A25" s="863"/>
      <c r="B25" s="863"/>
      <c r="C25" s="863"/>
      <c r="D25" s="863"/>
      <c r="E25" s="625"/>
      <c r="F25" s="626"/>
      <c r="G25" s="626"/>
      <c r="H25" s="593"/>
      <c r="I25" s="593"/>
      <c r="J25" s="593"/>
    </row>
    <row r="26" spans="1:10" ht="15">
      <c r="A26" s="593"/>
      <c r="B26" s="626"/>
      <c r="C26" s="626"/>
      <c r="D26" s="626"/>
      <c r="E26" s="626"/>
      <c r="F26" s="626"/>
      <c r="G26" s="626"/>
      <c r="H26" s="593"/>
      <c r="I26" s="593"/>
      <c r="J26" s="593"/>
    </row>
    <row r="27" spans="1:10">
      <c r="A27" s="593"/>
      <c r="B27" s="593"/>
      <c r="C27" s="593"/>
      <c r="D27" s="593"/>
      <c r="E27" s="593"/>
      <c r="F27" s="599"/>
      <c r="G27" s="593"/>
      <c r="H27" s="593"/>
      <c r="I27" s="593"/>
      <c r="J27" s="593"/>
    </row>
  </sheetData>
  <mergeCells count="5">
    <mergeCell ref="F5:G5"/>
    <mergeCell ref="A1:G1"/>
    <mergeCell ref="A2:G3"/>
    <mergeCell ref="A25:D25"/>
    <mergeCell ref="B5:C5"/>
  </mergeCells>
  <phoneticPr fontId="3" type="noConversion"/>
  <printOptions horizontalCentered="1" verticalCentered="1"/>
  <pageMargins left="0.23622047244094491" right="1.04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92D050"/>
  </sheetPr>
  <dimension ref="B1:M19"/>
  <sheetViews>
    <sheetView rightToLeft="1" showWhiteSpace="0" zoomScale="80" zoomScaleNormal="80" zoomScaleSheetLayoutView="100" workbookViewId="0">
      <selection activeCell="C18" sqref="C18"/>
    </sheetView>
  </sheetViews>
  <sheetFormatPr defaultRowHeight="12.75"/>
  <cols>
    <col min="1" max="1" width="2.42578125" style="593" customWidth="1"/>
    <col min="2" max="2" width="13.7109375" style="593" customWidth="1"/>
    <col min="3" max="3" width="12.140625" style="593" customWidth="1"/>
    <col min="4" max="4" width="10.140625" style="593" customWidth="1"/>
    <col min="5" max="5" width="12.5703125" style="593" customWidth="1"/>
    <col min="6" max="6" width="13.28515625" style="593" customWidth="1"/>
    <col min="7" max="7" width="13.5703125" style="593" customWidth="1"/>
    <col min="8" max="8" width="18" style="622" customWidth="1"/>
    <col min="9" max="9" width="14.42578125" style="593" customWidth="1"/>
    <col min="10" max="10" width="16.42578125" style="593" customWidth="1"/>
    <col min="11" max="11" width="9.140625" style="593"/>
    <col min="12" max="12" width="15.7109375" style="593" bestFit="1" customWidth="1"/>
    <col min="13" max="13" width="12.28515625" style="593" bestFit="1" customWidth="1"/>
    <col min="14" max="16384" width="9.140625" style="593"/>
  </cols>
  <sheetData>
    <row r="1" spans="2:13" ht="30.75" customHeight="1">
      <c r="B1" s="855" t="s">
        <v>420</v>
      </c>
      <c r="C1" s="855"/>
      <c r="D1" s="855"/>
      <c r="E1" s="855"/>
      <c r="F1" s="855"/>
      <c r="G1" s="855"/>
      <c r="H1" s="855"/>
      <c r="I1" s="855"/>
      <c r="J1" s="855"/>
    </row>
    <row r="2" spans="2:13" ht="22.5" customHeight="1">
      <c r="B2" s="858" t="s">
        <v>403</v>
      </c>
      <c r="C2" s="858"/>
      <c r="D2" s="858"/>
      <c r="E2" s="858"/>
      <c r="F2" s="858"/>
      <c r="G2" s="858"/>
      <c r="H2" s="858"/>
      <c r="I2" s="858"/>
      <c r="J2" s="858"/>
    </row>
    <row r="3" spans="2:13" ht="18.75" customHeight="1">
      <c r="C3" s="574"/>
      <c r="D3" s="574"/>
      <c r="E3" s="574"/>
      <c r="F3" s="574"/>
      <c r="G3" s="574"/>
      <c r="H3" s="574"/>
      <c r="I3" s="574"/>
      <c r="J3" s="564" t="s">
        <v>194</v>
      </c>
    </row>
    <row r="4" spans="2:13" ht="28.5" customHeight="1" thickBot="1">
      <c r="B4" s="672" t="s">
        <v>419</v>
      </c>
      <c r="C4" s="859" t="s">
        <v>137</v>
      </c>
      <c r="D4" s="859"/>
      <c r="E4" s="566"/>
      <c r="F4" s="566"/>
      <c r="G4" s="566"/>
      <c r="H4" s="566"/>
      <c r="I4" s="566" t="s">
        <v>136</v>
      </c>
      <c r="J4" s="567" t="s">
        <v>98</v>
      </c>
    </row>
    <row r="5" spans="2:13" ht="15" customHeight="1">
      <c r="B5" s="674"/>
      <c r="C5" s="675" t="s">
        <v>26</v>
      </c>
      <c r="D5" s="675" t="s">
        <v>99</v>
      </c>
      <c r="E5" s="675" t="s">
        <v>100</v>
      </c>
      <c r="F5" s="675" t="s">
        <v>72</v>
      </c>
      <c r="G5" s="675" t="s">
        <v>74</v>
      </c>
      <c r="H5" s="675" t="s">
        <v>78</v>
      </c>
      <c r="I5" s="675" t="s">
        <v>112</v>
      </c>
      <c r="J5" s="675"/>
    </row>
    <row r="6" spans="2:13" ht="15" customHeight="1">
      <c r="B6" s="676"/>
      <c r="C6" s="677" t="s">
        <v>27</v>
      </c>
      <c r="D6" s="572" t="s">
        <v>298</v>
      </c>
      <c r="E6" s="572" t="s">
        <v>139</v>
      </c>
      <c r="F6" s="572" t="s">
        <v>277</v>
      </c>
      <c r="G6" s="572" t="s">
        <v>353</v>
      </c>
      <c r="H6" s="677" t="s">
        <v>124</v>
      </c>
      <c r="I6" s="678" t="s">
        <v>127</v>
      </c>
      <c r="J6" s="572"/>
    </row>
    <row r="7" spans="2:13" ht="16.5" customHeight="1" thickBot="1">
      <c r="B7" s="679" t="s">
        <v>47</v>
      </c>
      <c r="C7" s="680" t="s">
        <v>120</v>
      </c>
      <c r="D7" s="680" t="s">
        <v>148</v>
      </c>
      <c r="E7" s="680" t="s">
        <v>149</v>
      </c>
      <c r="F7" s="680" t="s">
        <v>148</v>
      </c>
      <c r="G7" s="680" t="s">
        <v>40</v>
      </c>
      <c r="H7" s="680" t="s">
        <v>119</v>
      </c>
      <c r="I7" s="679"/>
      <c r="J7" s="681" t="s">
        <v>25</v>
      </c>
    </row>
    <row r="8" spans="2:13" ht="16.5" customHeight="1" thickTop="1">
      <c r="B8" s="569" t="s">
        <v>320</v>
      </c>
      <c r="C8" s="682">
        <v>1</v>
      </c>
      <c r="D8" s="683">
        <v>2</v>
      </c>
      <c r="E8" s="682">
        <v>3</v>
      </c>
      <c r="F8" s="682">
        <v>8</v>
      </c>
      <c r="G8" s="682">
        <v>502</v>
      </c>
      <c r="H8" s="682">
        <v>531</v>
      </c>
      <c r="I8" s="584">
        <v>185920</v>
      </c>
      <c r="J8" s="684" t="s">
        <v>316</v>
      </c>
      <c r="L8" s="599"/>
      <c r="M8" s="599"/>
    </row>
    <row r="9" spans="2:13" ht="16.5" customHeight="1">
      <c r="B9" s="685" t="s">
        <v>4</v>
      </c>
      <c r="C9" s="678">
        <v>10</v>
      </c>
      <c r="D9" s="686">
        <v>55</v>
      </c>
      <c r="E9" s="678">
        <v>139</v>
      </c>
      <c r="F9" s="678">
        <v>323</v>
      </c>
      <c r="G9" s="580">
        <v>6212</v>
      </c>
      <c r="H9" s="580">
        <v>26721</v>
      </c>
      <c r="I9" s="580">
        <v>11326138.5</v>
      </c>
      <c r="J9" s="651" t="s">
        <v>16</v>
      </c>
      <c r="L9" s="599"/>
      <c r="M9" s="599"/>
    </row>
    <row r="10" spans="2:13" ht="16.5" customHeight="1">
      <c r="B10" s="569" t="s">
        <v>6</v>
      </c>
      <c r="C10" s="682">
        <v>0</v>
      </c>
      <c r="D10" s="683">
        <v>1</v>
      </c>
      <c r="E10" s="682">
        <v>6</v>
      </c>
      <c r="F10" s="682">
        <v>12</v>
      </c>
      <c r="G10" s="682">
        <v>181</v>
      </c>
      <c r="H10" s="682">
        <v>547</v>
      </c>
      <c r="I10" s="584">
        <v>191352</v>
      </c>
      <c r="J10" s="684" t="s">
        <v>380</v>
      </c>
      <c r="L10" s="599"/>
      <c r="M10" s="599"/>
    </row>
    <row r="11" spans="2:13" ht="16.5" customHeight="1">
      <c r="B11" s="685" t="s">
        <v>7</v>
      </c>
      <c r="C11" s="678">
        <v>1</v>
      </c>
      <c r="D11" s="686">
        <v>2</v>
      </c>
      <c r="E11" s="678">
        <v>5</v>
      </c>
      <c r="F11" s="678">
        <v>10</v>
      </c>
      <c r="G11" s="678">
        <v>227</v>
      </c>
      <c r="H11" s="678">
        <v>1409</v>
      </c>
      <c r="I11" s="580">
        <v>563760</v>
      </c>
      <c r="J11" s="651" t="s">
        <v>17</v>
      </c>
      <c r="L11" s="599"/>
      <c r="M11" s="599"/>
    </row>
    <row r="12" spans="2:13" ht="15" customHeight="1">
      <c r="B12" s="569" t="s">
        <v>10</v>
      </c>
      <c r="C12" s="682">
        <v>1</v>
      </c>
      <c r="D12" s="683">
        <v>2</v>
      </c>
      <c r="E12" s="682">
        <v>3</v>
      </c>
      <c r="F12" s="682">
        <v>10</v>
      </c>
      <c r="G12" s="682">
        <v>315</v>
      </c>
      <c r="H12" s="682">
        <v>592</v>
      </c>
      <c r="I12" s="584">
        <v>207200</v>
      </c>
      <c r="J12" s="684" t="s">
        <v>20</v>
      </c>
      <c r="L12" s="599"/>
      <c r="M12" s="599"/>
    </row>
    <row r="13" spans="2:13" ht="15" customHeight="1" thickBot="1">
      <c r="B13" s="586" t="s">
        <v>13</v>
      </c>
      <c r="C13" s="579">
        <v>1</v>
      </c>
      <c r="D13" s="687">
        <v>3</v>
      </c>
      <c r="E13" s="579">
        <v>10</v>
      </c>
      <c r="F13" s="579">
        <v>12</v>
      </c>
      <c r="G13" s="579">
        <v>323</v>
      </c>
      <c r="H13" s="579">
        <v>344</v>
      </c>
      <c r="I13" s="580">
        <v>137600</v>
      </c>
      <c r="J13" s="581" t="s">
        <v>22</v>
      </c>
      <c r="L13" s="599"/>
      <c r="M13" s="599"/>
    </row>
    <row r="14" spans="2:13" ht="24" customHeight="1" thickTop="1" thickBot="1">
      <c r="B14" s="688" t="s">
        <v>0</v>
      </c>
      <c r="C14" s="689">
        <f>C8+C9+C10+C11+C12+C13</f>
        <v>14</v>
      </c>
      <c r="D14" s="689">
        <f t="shared" ref="D14:I14" si="0">D8+D9+D10+D11+D12+D13</f>
        <v>65</v>
      </c>
      <c r="E14" s="689">
        <f t="shared" si="0"/>
        <v>166</v>
      </c>
      <c r="F14" s="689">
        <f t="shared" si="0"/>
        <v>375</v>
      </c>
      <c r="G14" s="689">
        <f t="shared" si="0"/>
        <v>7760</v>
      </c>
      <c r="H14" s="689">
        <f t="shared" si="0"/>
        <v>30144</v>
      </c>
      <c r="I14" s="689">
        <f t="shared" si="0"/>
        <v>12611970.5</v>
      </c>
      <c r="J14" s="688" t="s">
        <v>102</v>
      </c>
    </row>
    <row r="15" spans="2:13" ht="13.5" thickTop="1">
      <c r="B15" s="863" t="s">
        <v>421</v>
      </c>
      <c r="C15" s="863"/>
      <c r="D15" s="863"/>
      <c r="E15" s="863"/>
      <c r="F15" s="863"/>
      <c r="G15" s="691"/>
    </row>
    <row r="16" spans="2:13">
      <c r="B16" s="865" t="s">
        <v>422</v>
      </c>
      <c r="C16" s="865"/>
      <c r="D16" s="865"/>
      <c r="E16" s="865"/>
      <c r="F16" s="865"/>
    </row>
    <row r="18" spans="2:10" ht="15">
      <c r="B18" s="687"/>
      <c r="C18" s="790"/>
      <c r="D18" s="687"/>
      <c r="E18" s="687"/>
      <c r="F18" s="687"/>
      <c r="G18" s="687"/>
      <c r="H18" s="687"/>
      <c r="I18" s="687"/>
      <c r="J18" s="687"/>
    </row>
    <row r="19" spans="2:10" ht="15">
      <c r="C19" s="626"/>
      <c r="D19" s="626"/>
      <c r="E19" s="626"/>
      <c r="F19" s="626"/>
      <c r="G19" s="626"/>
      <c r="H19" s="692"/>
      <c r="I19" s="626"/>
      <c r="J19" s="621"/>
    </row>
  </sheetData>
  <mergeCells count="5">
    <mergeCell ref="B1:J1"/>
    <mergeCell ref="B2:J2"/>
    <mergeCell ref="C4:D4"/>
    <mergeCell ref="B15:F15"/>
    <mergeCell ref="B16:F16"/>
  </mergeCells>
  <phoneticPr fontId="3" type="noConversion"/>
  <printOptions horizontalCentered="1" verticalCentered="1"/>
  <pageMargins left="0.95" right="0.4" top="1.3779527559055118" bottom="0.79" header="0.19685039370078741" footer="0.7874015748031496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2D050"/>
  </sheetPr>
  <dimension ref="A1:S27"/>
  <sheetViews>
    <sheetView rightToLeft="1" topLeftCell="B1" zoomScale="80" zoomScaleNormal="80" zoomScaleSheetLayoutView="100" workbookViewId="0">
      <selection activeCell="C18" sqref="C18"/>
    </sheetView>
  </sheetViews>
  <sheetFormatPr defaultRowHeight="12.75"/>
  <cols>
    <col min="1" max="1" width="0" hidden="1" customWidth="1"/>
    <col min="2" max="2" width="10.85546875" customWidth="1"/>
    <col min="3" max="3" width="9.42578125" customWidth="1"/>
    <col min="4" max="4" width="10.28515625" customWidth="1"/>
    <col min="5" max="5" width="8.85546875" customWidth="1"/>
    <col min="6" max="6" width="9.85546875" customWidth="1"/>
    <col min="7" max="7" width="10.42578125" customWidth="1"/>
    <col min="8" max="8" width="15.7109375" customWidth="1"/>
    <col min="9" max="9" width="17.5703125" customWidth="1"/>
    <col min="10" max="10" width="14.5703125" customWidth="1"/>
    <col min="11" max="11" width="13.85546875" customWidth="1"/>
    <col min="12" max="12" width="1.140625" customWidth="1"/>
    <col min="14" max="14" width="17.85546875" bestFit="1" customWidth="1"/>
    <col min="15" max="15" width="12.5703125" bestFit="1" customWidth="1"/>
  </cols>
  <sheetData>
    <row r="1" spans="1:19" ht="15">
      <c r="B1" s="855" t="s">
        <v>425</v>
      </c>
      <c r="C1" s="855"/>
      <c r="D1" s="855"/>
      <c r="E1" s="855"/>
      <c r="F1" s="855"/>
      <c r="G1" s="855"/>
      <c r="H1" s="855"/>
      <c r="I1" s="855"/>
      <c r="J1" s="855"/>
      <c r="K1" s="855"/>
    </row>
    <row r="2" spans="1:19" ht="15" customHeight="1">
      <c r="B2" s="868" t="s">
        <v>402</v>
      </c>
      <c r="C2" s="868"/>
      <c r="D2" s="868"/>
      <c r="E2" s="868"/>
      <c r="F2" s="868"/>
      <c r="G2" s="868"/>
      <c r="H2" s="868"/>
      <c r="I2" s="868"/>
      <c r="J2" s="868"/>
      <c r="K2" s="868"/>
    </row>
    <row r="3" spans="1:19" s="4" customFormat="1" ht="15" customHeight="1">
      <c r="B3" s="563"/>
      <c r="C3" s="563"/>
      <c r="D3" s="563"/>
      <c r="E3" s="563"/>
      <c r="F3" s="563"/>
      <c r="G3" s="563"/>
      <c r="H3" s="563"/>
      <c r="I3" s="563"/>
      <c r="J3" s="563"/>
      <c r="K3" s="564" t="s">
        <v>194</v>
      </c>
    </row>
    <row r="4" spans="1:19" ht="16.5" customHeight="1" thickBot="1">
      <c r="B4" s="866" t="s">
        <v>424</v>
      </c>
      <c r="C4" s="866"/>
      <c r="D4" s="867" t="s">
        <v>137</v>
      </c>
      <c r="E4" s="867"/>
      <c r="F4" s="565"/>
      <c r="G4" s="565"/>
      <c r="H4" s="565"/>
      <c r="I4" s="566"/>
      <c r="J4" s="566" t="s">
        <v>136</v>
      </c>
      <c r="K4" s="567" t="s">
        <v>423</v>
      </c>
    </row>
    <row r="5" spans="1:19" ht="19.5" customHeight="1">
      <c r="A5" s="2"/>
      <c r="B5" s="568"/>
      <c r="C5" s="569" t="s">
        <v>64</v>
      </c>
      <c r="D5" s="569" t="s">
        <v>99</v>
      </c>
      <c r="E5" s="569" t="s">
        <v>100</v>
      </c>
      <c r="F5" s="569" t="s">
        <v>72</v>
      </c>
      <c r="G5" s="569" t="s">
        <v>73</v>
      </c>
      <c r="H5" s="569" t="s">
        <v>195</v>
      </c>
      <c r="I5" s="569" t="s">
        <v>78</v>
      </c>
      <c r="J5" s="569" t="s">
        <v>114</v>
      </c>
      <c r="K5" s="568"/>
    </row>
    <row r="6" spans="1:19" ht="26.25" customHeight="1">
      <c r="A6" s="2"/>
      <c r="B6" s="570"/>
      <c r="C6" s="571" t="s">
        <v>27</v>
      </c>
      <c r="D6" s="572" t="s">
        <v>298</v>
      </c>
      <c r="E6" s="573" t="s">
        <v>139</v>
      </c>
      <c r="F6" s="571" t="s">
        <v>147</v>
      </c>
      <c r="G6" s="571" t="s">
        <v>132</v>
      </c>
      <c r="H6" s="571" t="s">
        <v>125</v>
      </c>
      <c r="I6" s="571" t="s">
        <v>124</v>
      </c>
      <c r="J6" s="574" t="s">
        <v>312</v>
      </c>
      <c r="K6" s="570"/>
    </row>
    <row r="7" spans="1:19" ht="15" customHeight="1" thickBot="1">
      <c r="A7" s="2"/>
      <c r="B7" s="575" t="s">
        <v>51</v>
      </c>
      <c r="C7" s="576" t="s">
        <v>120</v>
      </c>
      <c r="D7" s="576" t="s">
        <v>120</v>
      </c>
      <c r="E7" s="575" t="s">
        <v>120</v>
      </c>
      <c r="F7" s="576" t="s">
        <v>120</v>
      </c>
      <c r="G7" s="576" t="s">
        <v>120</v>
      </c>
      <c r="H7" s="576" t="s">
        <v>119</v>
      </c>
      <c r="I7" s="576" t="s">
        <v>119</v>
      </c>
      <c r="J7" s="575"/>
      <c r="K7" s="577" t="s">
        <v>25</v>
      </c>
    </row>
    <row r="8" spans="1:19" s="167" customFormat="1" ht="15" customHeight="1" thickTop="1">
      <c r="B8" s="578" t="s">
        <v>329</v>
      </c>
      <c r="C8" s="579">
        <v>9</v>
      </c>
      <c r="D8" s="579">
        <v>29</v>
      </c>
      <c r="E8" s="579">
        <v>68</v>
      </c>
      <c r="F8" s="579">
        <v>189</v>
      </c>
      <c r="G8" s="579">
        <v>54</v>
      </c>
      <c r="H8" s="579">
        <v>3489</v>
      </c>
      <c r="I8" s="579">
        <v>8819</v>
      </c>
      <c r="J8" s="580">
        <v>4643149.4000000004</v>
      </c>
      <c r="K8" s="581" t="s">
        <v>379</v>
      </c>
      <c r="N8" s="245"/>
      <c r="O8" s="245"/>
      <c r="S8" s="245"/>
    </row>
    <row r="9" spans="1:19" s="167" customFormat="1" ht="15" customHeight="1">
      <c r="B9" s="582" t="s">
        <v>29</v>
      </c>
      <c r="C9" s="583">
        <v>19</v>
      </c>
      <c r="D9" s="583">
        <v>61</v>
      </c>
      <c r="E9" s="583">
        <v>77</v>
      </c>
      <c r="F9" s="583">
        <v>347</v>
      </c>
      <c r="G9" s="583">
        <v>95</v>
      </c>
      <c r="H9" s="583">
        <v>7738</v>
      </c>
      <c r="I9" s="583">
        <v>20078</v>
      </c>
      <c r="J9" s="584">
        <v>8789962.5</v>
      </c>
      <c r="K9" s="585" t="s">
        <v>30</v>
      </c>
      <c r="N9" s="245"/>
      <c r="O9" s="245"/>
      <c r="S9" s="245"/>
    </row>
    <row r="10" spans="1:19" s="167" customFormat="1" ht="15" customHeight="1">
      <c r="B10" s="586" t="s">
        <v>3</v>
      </c>
      <c r="C10" s="579">
        <v>16</v>
      </c>
      <c r="D10" s="579">
        <v>52</v>
      </c>
      <c r="E10" s="579">
        <v>66</v>
      </c>
      <c r="F10" s="579">
        <v>150</v>
      </c>
      <c r="G10" s="579">
        <v>47</v>
      </c>
      <c r="H10" s="579">
        <v>3949</v>
      </c>
      <c r="I10" s="579">
        <v>6416</v>
      </c>
      <c r="J10" s="580">
        <v>2813643</v>
      </c>
      <c r="K10" s="587" t="s">
        <v>15</v>
      </c>
      <c r="N10" s="245"/>
      <c r="O10" s="245"/>
      <c r="S10" s="245"/>
    </row>
    <row r="11" spans="1:19" s="167" customFormat="1" ht="15" customHeight="1">
      <c r="B11" s="588" t="s">
        <v>320</v>
      </c>
      <c r="C11" s="583">
        <v>16</v>
      </c>
      <c r="D11" s="583">
        <v>62</v>
      </c>
      <c r="E11" s="583">
        <v>88</v>
      </c>
      <c r="F11" s="583">
        <v>186</v>
      </c>
      <c r="G11" s="583">
        <v>68</v>
      </c>
      <c r="H11" s="583">
        <v>15807</v>
      </c>
      <c r="I11" s="583">
        <v>17256</v>
      </c>
      <c r="J11" s="584">
        <v>6550376</v>
      </c>
      <c r="K11" s="585" t="s">
        <v>316</v>
      </c>
      <c r="N11" s="245"/>
      <c r="O11" s="245"/>
      <c r="S11" s="245"/>
    </row>
    <row r="12" spans="1:19" s="167" customFormat="1" ht="15" customHeight="1">
      <c r="B12" s="578" t="s">
        <v>4</v>
      </c>
      <c r="C12" s="579">
        <v>253</v>
      </c>
      <c r="D12" s="579">
        <v>1112</v>
      </c>
      <c r="E12" s="579">
        <v>2143</v>
      </c>
      <c r="F12" s="579">
        <v>4629</v>
      </c>
      <c r="G12" s="579">
        <v>1359</v>
      </c>
      <c r="H12" s="579">
        <v>161292</v>
      </c>
      <c r="I12" s="579">
        <v>366471</v>
      </c>
      <c r="J12" s="580">
        <v>147653036.75</v>
      </c>
      <c r="K12" s="581" t="s">
        <v>16</v>
      </c>
      <c r="N12" s="245"/>
      <c r="O12" s="245"/>
      <c r="S12" s="245"/>
    </row>
    <row r="13" spans="1:19" s="167" customFormat="1" ht="15" customHeight="1">
      <c r="B13" s="582" t="s">
        <v>5</v>
      </c>
      <c r="C13" s="583">
        <v>6</v>
      </c>
      <c r="D13" s="583">
        <v>17</v>
      </c>
      <c r="E13" s="583">
        <v>31</v>
      </c>
      <c r="F13" s="583">
        <v>59</v>
      </c>
      <c r="G13" s="583">
        <v>29</v>
      </c>
      <c r="H13" s="583">
        <v>1885</v>
      </c>
      <c r="I13" s="583">
        <v>4358</v>
      </c>
      <c r="J13" s="584">
        <v>2615299.5</v>
      </c>
      <c r="K13" s="585" t="s">
        <v>23</v>
      </c>
      <c r="N13" s="245"/>
      <c r="O13" s="245"/>
      <c r="S13" s="245"/>
    </row>
    <row r="14" spans="1:19" s="167" customFormat="1" ht="15" customHeight="1">
      <c r="B14" s="578" t="s">
        <v>6</v>
      </c>
      <c r="C14" s="579">
        <v>76</v>
      </c>
      <c r="D14" s="579">
        <v>303</v>
      </c>
      <c r="E14" s="579">
        <v>467</v>
      </c>
      <c r="F14" s="579">
        <v>1122</v>
      </c>
      <c r="G14" s="579">
        <v>210</v>
      </c>
      <c r="H14" s="579">
        <v>21872</v>
      </c>
      <c r="I14" s="579">
        <v>84432</v>
      </c>
      <c r="J14" s="580">
        <v>29069316</v>
      </c>
      <c r="K14" s="581" t="s">
        <v>380</v>
      </c>
      <c r="N14" s="245"/>
      <c r="O14" s="245"/>
      <c r="S14" s="245"/>
    </row>
    <row r="15" spans="1:19" s="167" customFormat="1" ht="15" customHeight="1">
      <c r="B15" s="582" t="s">
        <v>11</v>
      </c>
      <c r="C15" s="583">
        <v>3</v>
      </c>
      <c r="D15" s="583">
        <v>7</v>
      </c>
      <c r="E15" s="583">
        <v>13</v>
      </c>
      <c r="F15" s="583">
        <v>32</v>
      </c>
      <c r="G15" s="583">
        <v>6</v>
      </c>
      <c r="H15" s="583">
        <v>760</v>
      </c>
      <c r="I15" s="583">
        <v>1528</v>
      </c>
      <c r="J15" s="584">
        <v>534835</v>
      </c>
      <c r="K15" s="585" t="s">
        <v>21</v>
      </c>
      <c r="N15" s="245"/>
      <c r="O15" s="245"/>
      <c r="S15" s="245"/>
    </row>
    <row r="16" spans="1:19" s="167" customFormat="1" ht="18" customHeight="1">
      <c r="B16" s="578" t="s">
        <v>2</v>
      </c>
      <c r="C16" s="579">
        <v>3</v>
      </c>
      <c r="D16" s="579">
        <v>12</v>
      </c>
      <c r="E16" s="579">
        <v>16</v>
      </c>
      <c r="F16" s="579">
        <v>125</v>
      </c>
      <c r="G16" s="579">
        <v>12</v>
      </c>
      <c r="H16" s="579">
        <v>1697</v>
      </c>
      <c r="I16" s="579">
        <v>1950</v>
      </c>
      <c r="J16" s="580">
        <v>595820</v>
      </c>
      <c r="K16" s="589" t="s">
        <v>14</v>
      </c>
      <c r="N16" s="245"/>
      <c r="O16" s="245"/>
      <c r="S16" s="245"/>
    </row>
    <row r="17" spans="1:19" s="167" customFormat="1" ht="15" customHeight="1">
      <c r="B17" s="582" t="s">
        <v>7</v>
      </c>
      <c r="C17" s="583">
        <v>14</v>
      </c>
      <c r="D17" s="583">
        <v>54</v>
      </c>
      <c r="E17" s="583">
        <v>99</v>
      </c>
      <c r="F17" s="583">
        <v>199</v>
      </c>
      <c r="G17" s="583">
        <v>46</v>
      </c>
      <c r="H17" s="583">
        <v>6492</v>
      </c>
      <c r="I17" s="583">
        <v>17242</v>
      </c>
      <c r="J17" s="584">
        <v>8652501</v>
      </c>
      <c r="K17" s="585" t="s">
        <v>17</v>
      </c>
      <c r="N17" s="245"/>
      <c r="O17" s="245"/>
      <c r="S17" s="245"/>
    </row>
    <row r="18" spans="1:19" s="167" customFormat="1" ht="15" customHeight="1">
      <c r="B18" s="578" t="s">
        <v>8</v>
      </c>
      <c r="C18" s="580">
        <v>6</v>
      </c>
      <c r="D18" s="579">
        <v>16</v>
      </c>
      <c r="E18" s="579">
        <v>25</v>
      </c>
      <c r="F18" s="579">
        <v>60</v>
      </c>
      <c r="G18" s="579">
        <v>15</v>
      </c>
      <c r="H18" s="579">
        <v>1525</v>
      </c>
      <c r="I18" s="579">
        <v>3175</v>
      </c>
      <c r="J18" s="580">
        <v>1031257.5</v>
      </c>
      <c r="K18" s="581" t="s">
        <v>18</v>
      </c>
      <c r="N18" s="245"/>
      <c r="O18" s="245"/>
      <c r="S18" s="245"/>
    </row>
    <row r="19" spans="1:19" s="167" customFormat="1" ht="15" customHeight="1">
      <c r="B19" s="582" t="s">
        <v>9</v>
      </c>
      <c r="C19" s="583">
        <v>10</v>
      </c>
      <c r="D19" s="583">
        <v>30</v>
      </c>
      <c r="E19" s="583">
        <v>47</v>
      </c>
      <c r="F19" s="583">
        <v>91</v>
      </c>
      <c r="G19" s="583">
        <v>35</v>
      </c>
      <c r="H19" s="583">
        <v>3333</v>
      </c>
      <c r="I19" s="583">
        <v>8591</v>
      </c>
      <c r="J19" s="584">
        <v>2992914</v>
      </c>
      <c r="K19" s="585" t="s">
        <v>19</v>
      </c>
      <c r="N19" s="245"/>
      <c r="O19" s="245"/>
      <c r="S19" s="245"/>
    </row>
    <row r="20" spans="1:19" s="167" customFormat="1" ht="15" customHeight="1">
      <c r="B20" s="578" t="s">
        <v>10</v>
      </c>
      <c r="C20" s="579">
        <v>7</v>
      </c>
      <c r="D20" s="579">
        <v>25</v>
      </c>
      <c r="E20" s="579">
        <v>33</v>
      </c>
      <c r="F20" s="579">
        <v>57</v>
      </c>
      <c r="G20" s="579">
        <v>14</v>
      </c>
      <c r="H20" s="579">
        <v>1896</v>
      </c>
      <c r="I20" s="579">
        <v>5652</v>
      </c>
      <c r="J20" s="580">
        <v>1945645</v>
      </c>
      <c r="K20" s="581" t="s">
        <v>20</v>
      </c>
      <c r="N20" s="245"/>
      <c r="O20" s="245"/>
      <c r="S20" s="245"/>
    </row>
    <row r="21" spans="1:19" s="167" customFormat="1" ht="15" customHeight="1" thickBot="1">
      <c r="B21" s="582" t="s">
        <v>13</v>
      </c>
      <c r="C21" s="583">
        <v>10</v>
      </c>
      <c r="D21" s="583">
        <v>39</v>
      </c>
      <c r="E21" s="583">
        <v>66</v>
      </c>
      <c r="F21" s="583">
        <v>106</v>
      </c>
      <c r="G21" s="583">
        <v>138</v>
      </c>
      <c r="H21" s="583">
        <v>19969</v>
      </c>
      <c r="I21" s="583">
        <v>13195</v>
      </c>
      <c r="J21" s="583">
        <v>5329463</v>
      </c>
      <c r="K21" s="585" t="s">
        <v>22</v>
      </c>
      <c r="N21" s="245"/>
      <c r="O21" s="245"/>
      <c r="S21" s="245"/>
    </row>
    <row r="22" spans="1:19" ht="18.75" customHeight="1" thickBot="1">
      <c r="B22" s="590" t="s">
        <v>0</v>
      </c>
      <c r="C22" s="591">
        <f t="shared" ref="C22:J22" si="0">SUM(C8:C21)</f>
        <v>448</v>
      </c>
      <c r="D22" s="591">
        <f t="shared" si="0"/>
        <v>1819</v>
      </c>
      <c r="E22" s="591">
        <f t="shared" si="0"/>
        <v>3239</v>
      </c>
      <c r="F22" s="591">
        <f t="shared" si="0"/>
        <v>7352</v>
      </c>
      <c r="G22" s="591">
        <f t="shared" si="0"/>
        <v>2128</v>
      </c>
      <c r="H22" s="591">
        <f t="shared" si="0"/>
        <v>251704</v>
      </c>
      <c r="I22" s="591">
        <f t="shared" si="0"/>
        <v>559163</v>
      </c>
      <c r="J22" s="591">
        <f t="shared" si="0"/>
        <v>223217218.65000001</v>
      </c>
      <c r="K22" s="592" t="s">
        <v>1</v>
      </c>
      <c r="N22" s="410"/>
      <c r="O22" s="245"/>
    </row>
    <row r="23" spans="1:19" ht="13.5" thickTop="1">
      <c r="B23" s="869"/>
      <c r="C23" s="869"/>
      <c r="D23" s="869"/>
      <c r="E23" s="869"/>
      <c r="F23" s="869"/>
    </row>
    <row r="24" spans="1:19">
      <c r="B24" s="8"/>
      <c r="C24" s="8"/>
      <c r="D24" s="8"/>
      <c r="E24" s="8"/>
      <c r="F24" s="8"/>
      <c r="K24" s="5"/>
      <c r="L24" s="5"/>
    </row>
    <row r="25" spans="1:19">
      <c r="A25" s="593"/>
      <c r="B25" s="593"/>
      <c r="C25" s="593"/>
      <c r="D25" s="593"/>
      <c r="E25" s="593"/>
      <c r="F25" s="593"/>
      <c r="G25" s="593"/>
      <c r="H25" s="593"/>
      <c r="I25" s="593"/>
      <c r="J25" s="593"/>
    </row>
    <row r="26" spans="1:19">
      <c r="A26" s="593"/>
      <c r="B26" s="593"/>
      <c r="C26" s="593"/>
      <c r="D26" s="593"/>
      <c r="E26" s="593"/>
      <c r="F26" s="593"/>
      <c r="G26" s="593"/>
      <c r="H26" s="593"/>
      <c r="I26" s="593"/>
      <c r="J26" s="593"/>
    </row>
    <row r="27" spans="1:19">
      <c r="A27" s="593"/>
      <c r="B27" s="593"/>
      <c r="C27" s="593"/>
      <c r="D27" s="593"/>
      <c r="E27" s="593"/>
      <c r="F27" s="593"/>
      <c r="G27" s="593"/>
      <c r="H27" s="593"/>
      <c r="I27" s="593"/>
      <c r="J27" s="593"/>
    </row>
  </sheetData>
  <mergeCells count="5">
    <mergeCell ref="B1:K1"/>
    <mergeCell ref="B4:C4"/>
    <mergeCell ref="D4:E4"/>
    <mergeCell ref="B2:K2"/>
    <mergeCell ref="B23:F23"/>
  </mergeCells>
  <phoneticPr fontId="3" type="noConversion"/>
  <printOptions horizontalCentered="1" verticalCentered="1"/>
  <pageMargins left="0.23622047244094491" right="0.25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92D050"/>
  </sheetPr>
  <dimension ref="B1:X17"/>
  <sheetViews>
    <sheetView rightToLeft="1" zoomScaleNormal="100" zoomScaleSheetLayoutView="100" workbookViewId="0">
      <selection activeCell="C18" sqref="C18"/>
    </sheetView>
  </sheetViews>
  <sheetFormatPr defaultRowHeight="12.75"/>
  <cols>
    <col min="1" max="1" width="0.28515625" style="593" customWidth="1"/>
    <col min="2" max="3" width="12.140625" style="593" customWidth="1"/>
    <col min="4" max="5" width="10" style="593" customWidth="1"/>
    <col min="6" max="6" width="11.28515625" style="593" customWidth="1"/>
    <col min="7" max="7" width="12.7109375" style="593" customWidth="1"/>
    <col min="8" max="8" width="20.42578125" style="593" customWidth="1"/>
    <col min="9" max="9" width="16.5703125" style="593" customWidth="1"/>
    <col min="10" max="10" width="15" style="593" customWidth="1"/>
    <col min="11" max="11" width="9.140625" style="593"/>
    <col min="12" max="12" width="15.42578125" style="593" bestFit="1" customWidth="1"/>
    <col min="13" max="16384" width="9.140625" style="593"/>
  </cols>
  <sheetData>
    <row r="1" spans="2:24" ht="15" customHeight="1">
      <c r="B1" s="855" t="s">
        <v>427</v>
      </c>
      <c r="C1" s="855"/>
      <c r="D1" s="855"/>
      <c r="E1" s="855"/>
      <c r="F1" s="855"/>
      <c r="G1" s="855"/>
      <c r="H1" s="855"/>
      <c r="I1" s="855"/>
      <c r="J1" s="855"/>
    </row>
    <row r="2" spans="2:24" ht="15.75" customHeight="1">
      <c r="B2" s="858" t="s">
        <v>401</v>
      </c>
      <c r="C2" s="858"/>
      <c r="D2" s="858"/>
      <c r="E2" s="858"/>
      <c r="F2" s="858"/>
      <c r="G2" s="858"/>
      <c r="H2" s="858"/>
      <c r="I2" s="858"/>
      <c r="J2" s="858"/>
    </row>
    <row r="3" spans="2:24">
      <c r="B3" s="858"/>
      <c r="C3" s="858"/>
      <c r="D3" s="858"/>
      <c r="E3" s="858"/>
      <c r="F3" s="858"/>
      <c r="G3" s="858"/>
      <c r="H3" s="858"/>
      <c r="I3" s="858"/>
      <c r="J3" s="858"/>
    </row>
    <row r="4" spans="2:24" ht="15">
      <c r="B4" s="574"/>
      <c r="C4" s="574"/>
      <c r="D4" s="574"/>
      <c r="E4" s="574"/>
      <c r="F4" s="574"/>
      <c r="G4" s="574"/>
      <c r="H4" s="574"/>
      <c r="I4" s="574"/>
      <c r="J4" s="564" t="s">
        <v>194</v>
      </c>
    </row>
    <row r="5" spans="2:24" ht="15" customHeight="1" thickBot="1">
      <c r="B5" s="672" t="s">
        <v>429</v>
      </c>
      <c r="C5" s="672" t="s">
        <v>361</v>
      </c>
      <c r="D5" s="672"/>
      <c r="E5" s="672"/>
      <c r="F5" s="672"/>
      <c r="G5" s="565"/>
      <c r="H5" s="856" t="s">
        <v>299</v>
      </c>
      <c r="I5" s="856"/>
      <c r="J5" s="567" t="s">
        <v>103</v>
      </c>
    </row>
    <row r="6" spans="2:24" ht="27" customHeight="1">
      <c r="B6" s="694"/>
      <c r="C6" s="695" t="s">
        <v>26</v>
      </c>
      <c r="D6" s="695" t="s">
        <v>318</v>
      </c>
      <c r="E6" s="695" t="s">
        <v>100</v>
      </c>
      <c r="F6" s="695" t="s">
        <v>319</v>
      </c>
      <c r="G6" s="696" t="s">
        <v>101</v>
      </c>
      <c r="H6" s="696" t="s">
        <v>78</v>
      </c>
      <c r="I6" s="696" t="s">
        <v>196</v>
      </c>
      <c r="J6" s="568"/>
    </row>
    <row r="7" spans="2:24" ht="25.5" customHeight="1">
      <c r="B7" s="654"/>
      <c r="C7" s="697" t="s">
        <v>27</v>
      </c>
      <c r="D7" s="697" t="s">
        <v>298</v>
      </c>
      <c r="E7" s="697" t="s">
        <v>139</v>
      </c>
      <c r="F7" s="697" t="s">
        <v>147</v>
      </c>
      <c r="G7" s="698" t="s">
        <v>132</v>
      </c>
      <c r="H7" s="698" t="s">
        <v>124</v>
      </c>
      <c r="I7" s="699" t="s">
        <v>126</v>
      </c>
      <c r="J7" s="570"/>
    </row>
    <row r="8" spans="2:24" ht="36.75" customHeight="1" thickBot="1">
      <c r="B8" s="577" t="s">
        <v>49</v>
      </c>
      <c r="C8" s="576" t="s">
        <v>120</v>
      </c>
      <c r="D8" s="576" t="s">
        <v>120</v>
      </c>
      <c r="E8" s="576" t="s">
        <v>120</v>
      </c>
      <c r="F8" s="576" t="s">
        <v>120</v>
      </c>
      <c r="G8" s="576" t="s">
        <v>120</v>
      </c>
      <c r="H8" s="576" t="s">
        <v>119</v>
      </c>
      <c r="I8" s="575"/>
      <c r="J8" s="577" t="s">
        <v>25</v>
      </c>
    </row>
    <row r="9" spans="2:24" s="604" customFormat="1" ht="15" customHeight="1" thickTop="1">
      <c r="B9" s="700" t="s">
        <v>329</v>
      </c>
      <c r="C9" s="701">
        <v>2</v>
      </c>
      <c r="D9" s="701">
        <v>3</v>
      </c>
      <c r="E9" s="701">
        <v>12</v>
      </c>
      <c r="F9" s="701">
        <v>37</v>
      </c>
      <c r="G9" s="701">
        <v>4</v>
      </c>
      <c r="H9" s="701">
        <v>1127</v>
      </c>
      <c r="I9" s="701">
        <v>507615</v>
      </c>
      <c r="J9" s="701" t="s">
        <v>379</v>
      </c>
      <c r="K9" s="593"/>
      <c r="L9" s="593"/>
      <c r="M9" s="593"/>
      <c r="N9" s="593"/>
      <c r="O9" s="593"/>
      <c r="P9" s="593"/>
      <c r="Q9" s="593"/>
      <c r="R9" s="593"/>
      <c r="S9" s="593"/>
      <c r="T9" s="593"/>
      <c r="U9" s="593"/>
      <c r="V9" s="593"/>
      <c r="W9" s="593"/>
      <c r="X9" s="593"/>
    </row>
    <row r="10" spans="2:24" s="604" customFormat="1" ht="15" customHeight="1">
      <c r="B10" s="702" t="s">
        <v>4</v>
      </c>
      <c r="C10" s="612">
        <v>3</v>
      </c>
      <c r="D10" s="612">
        <v>9</v>
      </c>
      <c r="E10" s="612">
        <v>13</v>
      </c>
      <c r="F10" s="612">
        <v>18</v>
      </c>
      <c r="G10" s="598">
        <v>9</v>
      </c>
      <c r="H10" s="598">
        <v>1276</v>
      </c>
      <c r="I10" s="703">
        <v>466115</v>
      </c>
      <c r="J10" s="612" t="s">
        <v>16</v>
      </c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</row>
    <row r="11" spans="2:24" ht="15" customHeight="1">
      <c r="B11" s="700" t="s">
        <v>6</v>
      </c>
      <c r="C11" s="701">
        <v>3</v>
      </c>
      <c r="D11" s="701">
        <v>13</v>
      </c>
      <c r="E11" s="701">
        <v>17</v>
      </c>
      <c r="F11" s="701">
        <v>39</v>
      </c>
      <c r="G11" s="682">
        <v>9</v>
      </c>
      <c r="H11" s="682">
        <v>2602</v>
      </c>
      <c r="I11" s="584">
        <v>910861</v>
      </c>
      <c r="J11" s="701" t="s">
        <v>380</v>
      </c>
    </row>
    <row r="12" spans="2:24" s="604" customFormat="1" ht="15" customHeight="1">
      <c r="B12" s="702" t="s">
        <v>407</v>
      </c>
      <c r="C12" s="612">
        <v>1</v>
      </c>
      <c r="D12" s="612">
        <v>1</v>
      </c>
      <c r="E12" s="612">
        <v>3</v>
      </c>
      <c r="F12" s="612">
        <v>4</v>
      </c>
      <c r="G12" s="598">
        <v>1</v>
      </c>
      <c r="H12" s="598">
        <v>257</v>
      </c>
      <c r="I12" s="703">
        <v>147000</v>
      </c>
      <c r="J12" s="612" t="s">
        <v>17</v>
      </c>
      <c r="K12" s="593"/>
      <c r="L12" s="593"/>
      <c r="M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</row>
    <row r="13" spans="2:24" ht="15" customHeight="1">
      <c r="B13" s="700" t="s">
        <v>8</v>
      </c>
      <c r="C13" s="701">
        <v>1</v>
      </c>
      <c r="D13" s="701">
        <v>2</v>
      </c>
      <c r="E13" s="701">
        <v>3</v>
      </c>
      <c r="F13" s="701">
        <v>3</v>
      </c>
      <c r="G13" s="682">
        <v>1</v>
      </c>
      <c r="H13" s="682">
        <v>73</v>
      </c>
      <c r="I13" s="584">
        <v>21750</v>
      </c>
      <c r="J13" s="701" t="s">
        <v>18</v>
      </c>
    </row>
    <row r="14" spans="2:24" ht="15" customHeight="1">
      <c r="B14" s="578" t="s">
        <v>10</v>
      </c>
      <c r="C14" s="581">
        <v>2</v>
      </c>
      <c r="D14" s="581">
        <v>6</v>
      </c>
      <c r="E14" s="581">
        <v>6</v>
      </c>
      <c r="F14" s="581">
        <v>10</v>
      </c>
      <c r="G14" s="579">
        <v>6</v>
      </c>
      <c r="H14" s="579">
        <v>665</v>
      </c>
      <c r="I14" s="580">
        <v>232750</v>
      </c>
      <c r="J14" s="581" t="s">
        <v>20</v>
      </c>
    </row>
    <row r="15" spans="2:24" s="604" customFormat="1" ht="15" customHeight="1" thickBot="1">
      <c r="B15" s="700" t="s">
        <v>13</v>
      </c>
      <c r="C15" s="701">
        <v>1</v>
      </c>
      <c r="D15" s="701">
        <v>2</v>
      </c>
      <c r="E15" s="701">
        <v>3</v>
      </c>
      <c r="F15" s="701">
        <v>5</v>
      </c>
      <c r="G15" s="682">
        <v>6</v>
      </c>
      <c r="H15" s="704">
        <v>150</v>
      </c>
      <c r="I15" s="705">
        <v>60000</v>
      </c>
      <c r="J15" s="706" t="s">
        <v>22</v>
      </c>
      <c r="K15" s="593"/>
      <c r="L15" s="593"/>
      <c r="M15" s="593"/>
      <c r="O15" s="593"/>
      <c r="P15" s="593"/>
      <c r="Q15" s="593"/>
      <c r="R15" s="593"/>
      <c r="S15" s="593"/>
      <c r="T15" s="593"/>
      <c r="U15" s="593"/>
      <c r="V15" s="593"/>
      <c r="W15" s="593"/>
      <c r="X15" s="593"/>
    </row>
    <row r="16" spans="2:24" s="711" customFormat="1" ht="16.5" customHeight="1" thickBot="1">
      <c r="B16" s="707" t="s">
        <v>0</v>
      </c>
      <c r="C16" s="708">
        <f>SUM(C9:C15)</f>
        <v>13</v>
      </c>
      <c r="D16" s="708">
        <f>SUM(D9:D15)</f>
        <v>36</v>
      </c>
      <c r="E16" s="708">
        <f t="shared" ref="E16:I16" si="0">SUM(E9:E15)</f>
        <v>57</v>
      </c>
      <c r="F16" s="708">
        <f t="shared" si="0"/>
        <v>116</v>
      </c>
      <c r="G16" s="708">
        <f t="shared" si="0"/>
        <v>36</v>
      </c>
      <c r="H16" s="709">
        <f t="shared" si="0"/>
        <v>6150</v>
      </c>
      <c r="I16" s="709">
        <f t="shared" si="0"/>
        <v>2346091</v>
      </c>
      <c r="J16" s="710" t="s">
        <v>1</v>
      </c>
      <c r="K16" s="593"/>
      <c r="L16" s="593"/>
      <c r="M16" s="593"/>
      <c r="O16" s="593"/>
      <c r="P16" s="593"/>
      <c r="Q16" s="593"/>
      <c r="R16" s="593"/>
      <c r="S16" s="593"/>
      <c r="T16" s="593"/>
      <c r="U16" s="593"/>
      <c r="V16" s="593"/>
      <c r="W16" s="593"/>
      <c r="X16" s="593"/>
    </row>
    <row r="17" spans="2:8">
      <c r="B17" s="870" t="s">
        <v>428</v>
      </c>
      <c r="C17" s="870"/>
      <c r="D17" s="870"/>
      <c r="E17" s="870"/>
      <c r="F17" s="870"/>
      <c r="G17" s="870"/>
      <c r="H17" s="712"/>
    </row>
  </sheetData>
  <mergeCells count="4">
    <mergeCell ref="B1:J1"/>
    <mergeCell ref="B2:J3"/>
    <mergeCell ref="H5:I5"/>
    <mergeCell ref="B17:G17"/>
  </mergeCells>
  <phoneticPr fontId="3" type="noConversion"/>
  <printOptions horizontalCentered="1" verticalCentered="1"/>
  <pageMargins left="0.23622047244094491" right="0.2" top="1.3779527559055118" bottom="1.8110236220472442" header="0.19685039370078741" footer="0.7874015748031496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92D050"/>
  </sheetPr>
  <dimension ref="A1:L20"/>
  <sheetViews>
    <sheetView rightToLeft="1" topLeftCell="B1" zoomScale="90" zoomScaleNormal="90" zoomScaleSheetLayoutView="100" workbookViewId="0">
      <selection activeCell="C18" sqref="C18"/>
    </sheetView>
  </sheetViews>
  <sheetFormatPr defaultRowHeight="12.75"/>
  <cols>
    <col min="1" max="1" width="1.85546875" style="593" hidden="1" customWidth="1"/>
    <col min="2" max="2" width="14.5703125" style="593" customWidth="1"/>
    <col min="3" max="4" width="11" style="593" customWidth="1"/>
    <col min="5" max="5" width="11.7109375" style="624" customWidth="1"/>
    <col min="6" max="7" width="16.42578125" style="593" customWidth="1"/>
    <col min="8" max="8" width="19.28515625" style="593" customWidth="1"/>
    <col min="9" max="9" width="15.5703125" style="593" customWidth="1"/>
    <col min="10" max="10" width="2" style="593" customWidth="1"/>
    <col min="11" max="11" width="9.140625" style="593"/>
    <col min="12" max="12" width="15.42578125" style="593" bestFit="1" customWidth="1"/>
    <col min="13" max="16384" width="9.140625" style="593"/>
  </cols>
  <sheetData>
    <row r="1" spans="1:12" ht="15">
      <c r="A1" s="654"/>
      <c r="B1" s="855" t="s">
        <v>431</v>
      </c>
      <c r="C1" s="855"/>
      <c r="D1" s="855"/>
      <c r="E1" s="855"/>
      <c r="F1" s="855"/>
      <c r="G1" s="855"/>
      <c r="H1" s="855"/>
      <c r="I1" s="855"/>
    </row>
    <row r="2" spans="1:12" ht="15" customHeight="1">
      <c r="A2" s="654"/>
      <c r="B2" s="872" t="s">
        <v>400</v>
      </c>
      <c r="C2" s="872"/>
      <c r="D2" s="872"/>
      <c r="E2" s="872"/>
      <c r="F2" s="872"/>
      <c r="G2" s="872"/>
      <c r="H2" s="872"/>
      <c r="I2" s="872"/>
    </row>
    <row r="3" spans="1:12" ht="16.5" customHeight="1">
      <c r="A3" s="654"/>
      <c r="B3" s="872"/>
      <c r="C3" s="872"/>
      <c r="D3" s="872"/>
      <c r="E3" s="872"/>
      <c r="F3" s="872"/>
      <c r="G3" s="872"/>
      <c r="H3" s="872"/>
      <c r="I3" s="872"/>
    </row>
    <row r="4" spans="1:12" ht="16.5" customHeight="1">
      <c r="A4" s="654"/>
      <c r="B4" s="713"/>
      <c r="C4" s="713"/>
      <c r="D4" s="713"/>
      <c r="E4" s="597"/>
      <c r="F4" s="713"/>
      <c r="G4" s="713"/>
      <c r="H4" s="874" t="s">
        <v>194</v>
      </c>
      <c r="I4" s="874"/>
      <c r="J4" s="626"/>
    </row>
    <row r="5" spans="1:12" ht="15" customHeight="1" thickBot="1">
      <c r="A5" s="654"/>
      <c r="B5" s="873" t="s">
        <v>426</v>
      </c>
      <c r="C5" s="873"/>
      <c r="D5" s="873" t="s">
        <v>430</v>
      </c>
      <c r="E5" s="873"/>
      <c r="F5" s="654"/>
      <c r="G5" s="859" t="s">
        <v>136</v>
      </c>
      <c r="H5" s="859"/>
      <c r="I5" s="714" t="s">
        <v>104</v>
      </c>
    </row>
    <row r="6" spans="1:12" ht="34.5" customHeight="1">
      <c r="A6" s="654"/>
      <c r="B6" s="715"/>
      <c r="C6" s="716" t="s">
        <v>108</v>
      </c>
      <c r="D6" s="716" t="s">
        <v>351</v>
      </c>
      <c r="E6" s="717" t="s">
        <v>330</v>
      </c>
      <c r="F6" s="716" t="s">
        <v>109</v>
      </c>
      <c r="G6" s="716" t="s">
        <v>78</v>
      </c>
      <c r="H6" s="717" t="s">
        <v>117</v>
      </c>
      <c r="I6" s="715"/>
    </row>
    <row r="7" spans="1:12" ht="30.75" customHeight="1">
      <c r="A7" s="718"/>
      <c r="B7" s="654"/>
      <c r="C7" s="573" t="s">
        <v>275</v>
      </c>
      <c r="D7" s="573"/>
      <c r="E7" s="647"/>
      <c r="F7" s="573" t="s">
        <v>130</v>
      </c>
      <c r="G7" s="573" t="s">
        <v>129</v>
      </c>
      <c r="H7" s="648" t="s">
        <v>126</v>
      </c>
      <c r="I7" s="654"/>
    </row>
    <row r="8" spans="1:12" ht="24" customHeight="1" thickBot="1">
      <c r="A8" s="871" t="s">
        <v>51</v>
      </c>
      <c r="B8" s="871"/>
      <c r="C8" s="575" t="s">
        <v>120</v>
      </c>
      <c r="D8" s="575" t="s">
        <v>355</v>
      </c>
      <c r="E8" s="575" t="s">
        <v>355</v>
      </c>
      <c r="F8" s="575" t="s">
        <v>119</v>
      </c>
      <c r="G8" s="575" t="s">
        <v>119</v>
      </c>
      <c r="H8" s="575"/>
      <c r="I8" s="719" t="s">
        <v>25</v>
      </c>
    </row>
    <row r="9" spans="1:12" s="615" customFormat="1" ht="15" customHeight="1" thickTop="1">
      <c r="A9" s="641"/>
      <c r="B9" s="586" t="s">
        <v>329</v>
      </c>
      <c r="C9" s="579">
        <v>1</v>
      </c>
      <c r="D9" s="579">
        <v>3</v>
      </c>
      <c r="E9" s="651">
        <v>1</v>
      </c>
      <c r="F9" s="579">
        <v>2518</v>
      </c>
      <c r="G9" s="579">
        <v>247</v>
      </c>
      <c r="H9" s="580">
        <v>114973.4</v>
      </c>
      <c r="I9" s="581" t="s">
        <v>379</v>
      </c>
      <c r="L9" s="411"/>
    </row>
    <row r="10" spans="1:12" s="615" customFormat="1" ht="15" customHeight="1">
      <c r="A10" s="641"/>
      <c r="B10" s="588" t="s">
        <v>29</v>
      </c>
      <c r="C10" s="583">
        <v>1</v>
      </c>
      <c r="D10" s="583">
        <v>0</v>
      </c>
      <c r="E10" s="646">
        <v>0</v>
      </c>
      <c r="F10" s="583">
        <v>477</v>
      </c>
      <c r="G10" s="583">
        <v>477</v>
      </c>
      <c r="H10" s="584">
        <v>190800</v>
      </c>
      <c r="I10" s="585" t="s">
        <v>30</v>
      </c>
      <c r="L10" s="411"/>
    </row>
    <row r="11" spans="1:12" s="615" customFormat="1" ht="15" customHeight="1">
      <c r="A11" s="641"/>
      <c r="B11" s="586" t="s">
        <v>3</v>
      </c>
      <c r="C11" s="579">
        <v>1</v>
      </c>
      <c r="D11" s="579">
        <v>1.62</v>
      </c>
      <c r="E11" s="651">
        <v>0</v>
      </c>
      <c r="F11" s="579">
        <v>1198</v>
      </c>
      <c r="G11" s="579">
        <v>2052</v>
      </c>
      <c r="H11" s="580">
        <v>923400</v>
      </c>
      <c r="I11" s="581" t="s">
        <v>15</v>
      </c>
      <c r="L11" s="411"/>
    </row>
    <row r="12" spans="1:12" s="615" customFormat="1" ht="15" customHeight="1">
      <c r="A12" s="641"/>
      <c r="B12" s="588" t="s">
        <v>4</v>
      </c>
      <c r="C12" s="583">
        <v>6</v>
      </c>
      <c r="D12" s="583">
        <v>0</v>
      </c>
      <c r="E12" s="646">
        <v>0</v>
      </c>
      <c r="F12" s="583">
        <v>11478</v>
      </c>
      <c r="G12" s="583">
        <v>15719</v>
      </c>
      <c r="H12" s="584">
        <v>6662244</v>
      </c>
      <c r="I12" s="646" t="s">
        <v>16</v>
      </c>
      <c r="L12" s="411"/>
    </row>
    <row r="13" spans="1:12" s="615" customFormat="1" ht="15" customHeight="1">
      <c r="A13" s="641"/>
      <c r="B13" s="586" t="s">
        <v>5</v>
      </c>
      <c r="C13" s="579">
        <v>2</v>
      </c>
      <c r="D13" s="579">
        <v>0</v>
      </c>
      <c r="E13" s="651">
        <v>0</v>
      </c>
      <c r="F13" s="579">
        <v>883</v>
      </c>
      <c r="G13" s="579">
        <v>475</v>
      </c>
      <c r="H13" s="580">
        <v>237435</v>
      </c>
      <c r="I13" s="651" t="s">
        <v>23</v>
      </c>
      <c r="L13" s="411"/>
    </row>
    <row r="14" spans="1:12" s="615" customFormat="1" ht="15" customHeight="1">
      <c r="A14" s="641"/>
      <c r="B14" s="588" t="s">
        <v>6</v>
      </c>
      <c r="C14" s="583">
        <v>1</v>
      </c>
      <c r="D14" s="583">
        <v>0</v>
      </c>
      <c r="E14" s="646">
        <v>0</v>
      </c>
      <c r="F14" s="583">
        <v>1233</v>
      </c>
      <c r="G14" s="583">
        <v>565</v>
      </c>
      <c r="H14" s="584">
        <v>177264</v>
      </c>
      <c r="I14" s="646" t="s">
        <v>380</v>
      </c>
      <c r="L14" s="411"/>
    </row>
    <row r="15" spans="1:12" s="615" customFormat="1" ht="15" customHeight="1">
      <c r="A15" s="641"/>
      <c r="B15" s="586" t="s">
        <v>8</v>
      </c>
      <c r="C15" s="579">
        <v>1</v>
      </c>
      <c r="D15" s="579">
        <v>1</v>
      </c>
      <c r="E15" s="651">
        <v>0</v>
      </c>
      <c r="F15" s="579">
        <v>2379</v>
      </c>
      <c r="G15" s="579">
        <v>1219</v>
      </c>
      <c r="H15" s="580">
        <v>365742</v>
      </c>
      <c r="I15" s="651" t="s">
        <v>18</v>
      </c>
      <c r="L15" s="411"/>
    </row>
    <row r="16" spans="1:12" s="615" customFormat="1" ht="15" customHeight="1" thickBot="1">
      <c r="A16" s="641"/>
      <c r="B16" s="588" t="s">
        <v>13</v>
      </c>
      <c r="C16" s="583">
        <v>1</v>
      </c>
      <c r="D16" s="583">
        <v>0</v>
      </c>
      <c r="E16" s="646">
        <v>0</v>
      </c>
      <c r="F16" s="583">
        <v>680</v>
      </c>
      <c r="G16" s="583">
        <v>473</v>
      </c>
      <c r="H16" s="584">
        <v>189200</v>
      </c>
      <c r="I16" s="646" t="s">
        <v>22</v>
      </c>
      <c r="L16" s="411"/>
    </row>
    <row r="17" spans="1:9" s="615" customFormat="1" ht="17.25" customHeight="1" thickBot="1">
      <c r="A17" s="720"/>
      <c r="B17" s="721" t="s">
        <v>0</v>
      </c>
      <c r="C17" s="722">
        <f>SUM(C9:C16)</f>
        <v>14</v>
      </c>
      <c r="D17" s="722">
        <f t="shared" ref="D17:H17" si="0">SUM(D9:D16)</f>
        <v>5.62</v>
      </c>
      <c r="E17" s="722">
        <f t="shared" si="0"/>
        <v>1</v>
      </c>
      <c r="F17" s="722">
        <f t="shared" si="0"/>
        <v>20846</v>
      </c>
      <c r="G17" s="722">
        <f t="shared" si="0"/>
        <v>21227</v>
      </c>
      <c r="H17" s="722">
        <f t="shared" si="0"/>
        <v>8861058.4000000004</v>
      </c>
      <c r="I17" s="723" t="s">
        <v>1</v>
      </c>
    </row>
    <row r="18" spans="1:9" ht="13.5" thickTop="1">
      <c r="B18" s="781" t="s">
        <v>432</v>
      </c>
      <c r="C18" s="690"/>
      <c r="D18" s="781"/>
      <c r="E18" s="781"/>
      <c r="F18" s="781"/>
      <c r="G18" s="781"/>
    </row>
    <row r="19" spans="1:9" ht="14.25" customHeight="1">
      <c r="B19" s="621"/>
      <c r="E19" s="593"/>
    </row>
    <row r="20" spans="1:9">
      <c r="E20" s="593"/>
    </row>
  </sheetData>
  <mergeCells count="7">
    <mergeCell ref="A8:B8"/>
    <mergeCell ref="B1:I1"/>
    <mergeCell ref="B2:I3"/>
    <mergeCell ref="B5:C5"/>
    <mergeCell ref="H4:I4"/>
    <mergeCell ref="G5:H5"/>
    <mergeCell ref="D5:E5"/>
  </mergeCells>
  <phoneticPr fontId="3" type="noConversion"/>
  <printOptions horizontalCentered="1" verticalCentered="1"/>
  <pageMargins left="0.23622047244094491" right="0.38" top="1.3779527559055118" bottom="1.8110236220472442" header="0.19685039370078741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27</vt:i4>
      </vt:variant>
    </vt:vector>
  </HeadingPairs>
  <TitlesOfParts>
    <vt:vector size="71" baseType="lpstr">
      <vt:lpstr>الكلفه  للسنوات</vt:lpstr>
      <vt:lpstr>مؤشرات</vt:lpstr>
      <vt:lpstr>مخطط المؤشرات</vt:lpstr>
      <vt:lpstr>دور السكن ج</vt:lpstr>
      <vt:lpstr>دور السكن م</vt:lpstr>
      <vt:lpstr>عمارات سكنيه ج و م</vt:lpstr>
      <vt:lpstr>عمارات تجاريه ج</vt:lpstr>
      <vt:lpstr>عمارات تجاريه م</vt:lpstr>
      <vt:lpstr>ابنيه صناعيه ج</vt:lpstr>
      <vt:lpstr>صناعي اضافة</vt:lpstr>
      <vt:lpstr>ابنيه تجاريه ج</vt:lpstr>
      <vt:lpstr>ابنيه تجاريه م</vt:lpstr>
      <vt:lpstr>ابنيه اجتماعيه ج</vt:lpstr>
      <vt:lpstr>ابنيه اجتماعيه م</vt:lpstr>
      <vt:lpstr>العاملين</vt:lpstr>
      <vt:lpstr>مخطط العاملين</vt:lpstr>
      <vt:lpstr>طابوق</vt:lpstr>
      <vt:lpstr>بلوك</vt:lpstr>
      <vt:lpstr>مخطط الطابوق والبلوك</vt:lpstr>
      <vt:lpstr>حجر</vt:lpstr>
      <vt:lpstr>حصى</vt:lpstr>
      <vt:lpstr>رمل</vt:lpstr>
      <vt:lpstr>مخطط الحصى</vt:lpstr>
      <vt:lpstr>سمنت</vt:lpstr>
      <vt:lpstr>جص</vt:lpstr>
      <vt:lpstr>مخطط الجص والاسمنت</vt:lpstr>
      <vt:lpstr>كاشي</vt:lpstr>
      <vt:lpstr>كاشي2</vt:lpstr>
      <vt:lpstr>مخطط الكاشي</vt:lpstr>
      <vt:lpstr>حديد</vt:lpstr>
      <vt:lpstr>ابواب</vt:lpstr>
      <vt:lpstr>شبابيك</vt:lpstr>
      <vt:lpstr>ت.كهربائيه1</vt:lpstr>
      <vt:lpstr>ت.كهربائيه2</vt:lpstr>
      <vt:lpstr>ت.صحيه1</vt:lpstr>
      <vt:lpstr>ت.صحيه2</vt:lpstr>
      <vt:lpstr>ت.صحيه3</vt:lpstr>
      <vt:lpstr>مواد انشائيه1</vt:lpstr>
      <vt:lpstr>مواد انشائيه2</vt:lpstr>
      <vt:lpstr>مواد انشائيه3</vt:lpstr>
      <vt:lpstr>مواد انشائيه4</vt:lpstr>
      <vt:lpstr>الكلفه الكليه</vt:lpstr>
      <vt:lpstr>Sheet3</vt:lpstr>
      <vt:lpstr>Sheet1</vt:lpstr>
      <vt:lpstr>ابواب!Print_Area</vt:lpstr>
      <vt:lpstr>العاملين!Print_Area</vt:lpstr>
      <vt:lpstr>'الكلفه  للسنوات'!Print_Area</vt:lpstr>
      <vt:lpstr>'الكلفه الكليه'!Print_Area</vt:lpstr>
      <vt:lpstr>بلوك!Print_Area</vt:lpstr>
      <vt:lpstr>ت.صحيه1!Print_Area</vt:lpstr>
      <vt:lpstr>ت.صحيه2!Print_Area</vt:lpstr>
      <vt:lpstr>ت.صحيه3!Print_Area</vt:lpstr>
      <vt:lpstr>ت.كهربائيه1!Print_Area</vt:lpstr>
      <vt:lpstr>ت.كهربائيه2!Print_Area</vt:lpstr>
      <vt:lpstr>حديد!Print_Area</vt:lpstr>
      <vt:lpstr>حصى!Print_Area</vt:lpstr>
      <vt:lpstr>'دور السكن ج'!Print_Area</vt:lpstr>
      <vt:lpstr>سمنت!Print_Area</vt:lpstr>
      <vt:lpstr>شبابيك!Print_Area</vt:lpstr>
      <vt:lpstr>'صناعي اضافة'!Print_Area</vt:lpstr>
      <vt:lpstr>طابوق!Print_Area</vt:lpstr>
      <vt:lpstr>'عمارات تجاريه ج'!Print_Area</vt:lpstr>
      <vt:lpstr>'عمارات تجاريه م'!Print_Area</vt:lpstr>
      <vt:lpstr>كاشي!Print_Area</vt:lpstr>
      <vt:lpstr>كاشي2!Print_Area</vt:lpstr>
      <vt:lpstr>'مخطط الطابوق والبلوك'!Print_Area</vt:lpstr>
      <vt:lpstr>'مواد انشائيه1'!Print_Area</vt:lpstr>
      <vt:lpstr>'مواد انشائيه2'!Print_Area</vt:lpstr>
      <vt:lpstr>'مواد انشائيه3'!Print_Area</vt:lpstr>
      <vt:lpstr>'مواد انشائيه4'!Print_Area</vt:lpstr>
      <vt:lpstr>مؤشرات!Print_Area</vt:lpstr>
    </vt:vector>
  </TitlesOfParts>
  <Company>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Ali Jaber</cp:lastModifiedBy>
  <cp:lastPrinted>2025-08-20T07:49:52Z</cp:lastPrinted>
  <dcterms:created xsi:type="dcterms:W3CDTF">2008-12-28T17:21:03Z</dcterms:created>
  <dcterms:modified xsi:type="dcterms:W3CDTF">2025-08-20T07:50:17Z</dcterms:modified>
</cp:coreProperties>
</file>